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613"/>
  <workbookPr autoCompressPictures="0"/>
  <bookViews>
    <workbookView xWindow="2480" yWindow="0" windowWidth="47600" windowHeight="26980"/>
  </bookViews>
  <sheets>
    <sheet name="Årsregnskap med noter 2013" sheetId="1" r:id="rId1"/>
  </sheets>
  <calcPr calcId="140001" calcMode="manual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02" i="1" l="1"/>
  <c r="E76" i="1"/>
  <c r="F77" i="1"/>
  <c r="K307" i="1"/>
  <c r="D303" i="1"/>
  <c r="K296" i="1"/>
  <c r="K295" i="1"/>
  <c r="E392" i="1"/>
  <c r="E220" i="1"/>
  <c r="E397" i="1"/>
  <c r="E398" i="1"/>
  <c r="E391" i="1"/>
  <c r="F392" i="1"/>
  <c r="G284" i="1"/>
  <c r="F284" i="1"/>
  <c r="F262" i="1"/>
  <c r="F264" i="1"/>
  <c r="F266" i="1"/>
  <c r="E262" i="1"/>
  <c r="E264" i="1"/>
  <c r="E266" i="1"/>
  <c r="E267" i="1"/>
  <c r="E268" i="1"/>
  <c r="G267" i="1"/>
  <c r="G268" i="1"/>
  <c r="E180" i="1"/>
  <c r="F10" i="1"/>
  <c r="D180" i="1"/>
  <c r="E10" i="1"/>
  <c r="E378" i="1"/>
  <c r="E377" i="1"/>
  <c r="E118" i="1"/>
  <c r="F118" i="1"/>
  <c r="E77" i="1"/>
  <c r="E59" i="1"/>
  <c r="E58" i="1"/>
  <c r="E57" i="1"/>
  <c r="E55" i="1"/>
  <c r="E54" i="1"/>
  <c r="E50" i="1"/>
  <c r="E51" i="1"/>
  <c r="F51" i="1"/>
  <c r="F50" i="1"/>
  <c r="F54" i="1"/>
  <c r="F56" i="1"/>
  <c r="F57" i="1"/>
  <c r="F58" i="1"/>
  <c r="F59" i="1"/>
  <c r="F20" i="1"/>
  <c r="E160" i="1"/>
  <c r="E159" i="1"/>
  <c r="E156" i="1"/>
  <c r="E194" i="1"/>
  <c r="E191" i="1"/>
  <c r="E217" i="1"/>
  <c r="E225" i="1"/>
  <c r="F217" i="1"/>
  <c r="F220" i="1"/>
  <c r="E82" i="1"/>
  <c r="E60" i="1"/>
  <c r="F225" i="1"/>
  <c r="B308" i="1"/>
  <c r="B297" i="1"/>
  <c r="C300" i="1"/>
  <c r="K300" i="1"/>
  <c r="F388" i="1"/>
  <c r="F383" i="1"/>
  <c r="E379" i="1"/>
  <c r="F377" i="1"/>
  <c r="F378" i="1"/>
  <c r="E195" i="1"/>
  <c r="F191" i="1"/>
  <c r="F194" i="1"/>
  <c r="F156" i="1"/>
  <c r="F159" i="1"/>
  <c r="F160" i="1"/>
  <c r="F195" i="1"/>
  <c r="B303" i="1"/>
  <c r="B304" i="1"/>
  <c r="F406" i="1"/>
  <c r="E406" i="1"/>
  <c r="F121" i="1"/>
  <c r="E20" i="1"/>
  <c r="E18" i="1"/>
  <c r="E22" i="1"/>
  <c r="E161" i="1"/>
  <c r="E9" i="1"/>
  <c r="F161" i="1"/>
  <c r="F9" i="1"/>
  <c r="F13" i="1"/>
  <c r="F111" i="1"/>
  <c r="E111" i="1"/>
  <c r="F82" i="1"/>
  <c r="F60" i="1"/>
  <c r="F67" i="1"/>
  <c r="F22" i="1"/>
  <c r="E33" i="1"/>
  <c r="F33" i="1"/>
  <c r="E45" i="1"/>
  <c r="E89" i="1"/>
  <c r="F45" i="1"/>
  <c r="D89" i="1"/>
  <c r="F89" i="1"/>
  <c r="E94" i="1"/>
  <c r="F98" i="1"/>
  <c r="F100" i="1"/>
  <c r="E107" i="1"/>
  <c r="F107" i="1"/>
  <c r="C294" i="1"/>
  <c r="D297" i="1"/>
  <c r="E297" i="1"/>
  <c r="F297" i="1"/>
  <c r="G297" i="1"/>
  <c r="H297" i="1"/>
  <c r="I297" i="1"/>
  <c r="J297" i="1"/>
  <c r="E303" i="1"/>
  <c r="C306" i="1"/>
  <c r="K306" i="1"/>
  <c r="D308" i="1"/>
  <c r="F308" i="1"/>
  <c r="F303" i="1"/>
  <c r="G308" i="1"/>
  <c r="G303" i="1"/>
  <c r="H308" i="1"/>
  <c r="H303" i="1"/>
  <c r="I308" i="1"/>
  <c r="I303" i="1"/>
  <c r="J308" i="1"/>
  <c r="J303" i="1"/>
  <c r="G338" i="1"/>
  <c r="C340" i="1"/>
  <c r="D340" i="1"/>
  <c r="E352" i="1"/>
  <c r="E119" i="1"/>
  <c r="F379" i="1"/>
  <c r="E388" i="1"/>
  <c r="E399" i="1"/>
  <c r="F399" i="1"/>
  <c r="F25" i="1"/>
  <c r="C308" i="1"/>
  <c r="C297" i="1"/>
  <c r="K297" i="1"/>
  <c r="K294" i="1"/>
  <c r="F113" i="1"/>
  <c r="F123" i="1"/>
  <c r="E113" i="1"/>
  <c r="E304" i="1"/>
  <c r="E13" i="1"/>
  <c r="E25" i="1"/>
  <c r="F85" i="1"/>
  <c r="F304" i="1"/>
  <c r="E121" i="1"/>
  <c r="I304" i="1"/>
  <c r="J304" i="1"/>
  <c r="H304" i="1"/>
  <c r="D304" i="1"/>
  <c r="F36" i="1"/>
  <c r="F386" i="1"/>
  <c r="C303" i="1"/>
  <c r="K308" i="1"/>
  <c r="E36" i="1"/>
  <c r="F393" i="1"/>
  <c r="F41" i="1"/>
  <c r="F43" i="1"/>
  <c r="G304" i="1"/>
  <c r="E67" i="1"/>
  <c r="E85" i="1"/>
  <c r="K303" i="1"/>
  <c r="C304" i="1"/>
  <c r="K304" i="1"/>
  <c r="E339" i="1"/>
  <c r="F408" i="1"/>
  <c r="F410" i="1"/>
  <c r="E409" i="1"/>
  <c r="E41" i="1"/>
  <c r="E43" i="1"/>
  <c r="E386" i="1"/>
  <c r="E393" i="1"/>
  <c r="E408" i="1"/>
  <c r="E410" i="1"/>
  <c r="E340" i="1"/>
  <c r="G339" i="1"/>
  <c r="E401" i="1"/>
  <c r="G340" i="1"/>
  <c r="E97" i="1"/>
  <c r="E98" i="1"/>
  <c r="E100" i="1"/>
  <c r="E123" i="1"/>
</calcChain>
</file>

<file path=xl/sharedStrings.xml><?xml version="1.0" encoding="utf-8"?>
<sst xmlns="http://schemas.openxmlformats.org/spreadsheetml/2006/main" count="310" uniqueCount="284">
  <si>
    <t>Note</t>
  </si>
  <si>
    <t>Driftsinntekter:</t>
  </si>
  <si>
    <t>Egne inntekter</t>
  </si>
  <si>
    <t>Tilskudd</t>
  </si>
  <si>
    <t>Sum driftsinntekter</t>
  </si>
  <si>
    <t>Driftskostnader:</t>
  </si>
  <si>
    <t>Lønn, arbeidsg.avg., pensjon</t>
  </si>
  <si>
    <t>Avskrivninger</t>
  </si>
  <si>
    <t>Andre driftskostnader</t>
  </si>
  <si>
    <t>Sum driftskostnader</t>
  </si>
  <si>
    <t>Finansinntekter/-kostnader:</t>
  </si>
  <si>
    <t>Finansinntekter</t>
  </si>
  <si>
    <t>Finanskostnader</t>
  </si>
  <si>
    <t>Sum netto finansinntekter</t>
  </si>
  <si>
    <t>Årsoverskudd</t>
  </si>
  <si>
    <t>Årets overskudd disponeres slik</t>
  </si>
  <si>
    <t>Annen egenkapital</t>
  </si>
  <si>
    <t>Sum</t>
  </si>
  <si>
    <t>EIENDELER</t>
  </si>
  <si>
    <t>Anleggsmidler</t>
  </si>
  <si>
    <t>Varige driftsmidler:</t>
  </si>
  <si>
    <t>Teaterbygning</t>
  </si>
  <si>
    <t>Lagerbygning</t>
  </si>
  <si>
    <t>Hus og leiligheter</t>
  </si>
  <si>
    <t>Teknisk utstyr</t>
  </si>
  <si>
    <t>Sum varige driftsmidler</t>
  </si>
  <si>
    <t>Langsiktige fordringer:</t>
  </si>
  <si>
    <t>Langsiktig fordring på staten</t>
  </si>
  <si>
    <t>Sum anleggsmidler</t>
  </si>
  <si>
    <t>Omløpsmidler</t>
  </si>
  <si>
    <t>Varer</t>
  </si>
  <si>
    <t>Fordringer:</t>
  </si>
  <si>
    <t>Debitorer</t>
  </si>
  <si>
    <t>Andre kortsiktige fordringer</t>
  </si>
  <si>
    <t>Forskuddsbetalte kostnader</t>
  </si>
  <si>
    <t>Sum fordringer</t>
  </si>
  <si>
    <t>Bankinnskudd, kontanter og lignende</t>
  </si>
  <si>
    <t>Sum omløpsmidler</t>
  </si>
  <si>
    <t>SUM EIENDELER</t>
  </si>
  <si>
    <t>GJELD OG EGENKAPITAL</t>
  </si>
  <si>
    <t>Egenkapital</t>
  </si>
  <si>
    <t>Innskutt egenkapital:</t>
  </si>
  <si>
    <t>Aksjekapital (1.080 aksjer á 100)</t>
  </si>
  <si>
    <t>Sum innskutt egenkapital</t>
  </si>
  <si>
    <t>Opptjent egenkapital:</t>
  </si>
  <si>
    <t>Sum opptjent egenkapital</t>
  </si>
  <si>
    <t>Sum egenkapital</t>
  </si>
  <si>
    <t>Langsiktig gjeld</t>
  </si>
  <si>
    <t>Avsetning for forpliktelser:</t>
  </si>
  <si>
    <t>Pensjonsforpliktelser</t>
  </si>
  <si>
    <t>Sum avsetning for forpliktelser</t>
  </si>
  <si>
    <t>Sum langsiktig gjeld</t>
  </si>
  <si>
    <t>Kortsiktig gjeld</t>
  </si>
  <si>
    <t>Leverandører</t>
  </si>
  <si>
    <t>Skyldig offentlige avgifter</t>
  </si>
  <si>
    <t>Annen kortsiktig gjeld</t>
  </si>
  <si>
    <t>Sum kortsiktig gjeld</t>
  </si>
  <si>
    <t>SUM GJELD OG EGENKAPITAL</t>
  </si>
  <si>
    <t>NOTE 1 - REGNSKAPSPRINSIPPER</t>
  </si>
  <si>
    <t>Årsregnskapet er satt opp i samsvar med regnskapslovens bestemmelser og god regnskapsskikk.</t>
  </si>
  <si>
    <t>Klassifisering og vurdering av balanseposter</t>
  </si>
  <si>
    <t>Anleggsmidler vurderes til anskaffelseskost, men nedskrives til virkelig verdi dersom verdifallet ikke forventes</t>
  </si>
  <si>
    <t>å være forbigående. Langsiktig gjeld balanseføres til nominelt beløp på etableringstidspunktet.</t>
  </si>
  <si>
    <t>Fordringer</t>
  </si>
  <si>
    <t>Kundefordringer og andre fordringer er oppført i balansen til pålydende etter fradrag for eventuell risiko for</t>
  </si>
  <si>
    <t>forventet tap.</t>
  </si>
  <si>
    <t>Varebeholdninger</t>
  </si>
  <si>
    <t>NOTE 2 - EGNE INNTEKTER</t>
  </si>
  <si>
    <t>Billettsalg</t>
  </si>
  <si>
    <t>Programsalg</t>
  </si>
  <si>
    <t>Gjestespill</t>
  </si>
  <si>
    <t>Teaterbaren</t>
  </si>
  <si>
    <t>Diverse inntekter</t>
  </si>
  <si>
    <t>NOTE 3 - TILSKUDD FRA EIERNE</t>
  </si>
  <si>
    <t>Tilskudd til driften</t>
  </si>
  <si>
    <t>Staten</t>
  </si>
  <si>
    <t>NOTE 4 - LØNNSKOSTNADER, ANT. ANSATTE, GODTGJØRELSER, M.M.</t>
  </si>
  <si>
    <t>Lønnskostnader</t>
  </si>
  <si>
    <t>Lønninger</t>
  </si>
  <si>
    <t>Pensjonskostnader</t>
  </si>
  <si>
    <t>Andre ytelser</t>
  </si>
  <si>
    <t>Sum personalkostnader</t>
  </si>
  <si>
    <t>Godtgjørelser</t>
  </si>
  <si>
    <t>Lønn</t>
  </si>
  <si>
    <t>Teatersjef/daglig leder</t>
  </si>
  <si>
    <t>NOTE 5 - ANDRE DRIFTSKOSTNADER</t>
  </si>
  <si>
    <t>Varekjøp bar/kantine/salgsartikler</t>
  </si>
  <si>
    <t>Honorarer</t>
  </si>
  <si>
    <t>Husets drift</t>
  </si>
  <si>
    <t>Generelle driftskostnader</t>
  </si>
  <si>
    <t>Transport og reiser</t>
  </si>
  <si>
    <t>Salgs- og informasjonskostnader</t>
  </si>
  <si>
    <t>Møtekostn./representasjon/kontingenter/gaver</t>
  </si>
  <si>
    <t>NOTE 6 - PENSJONSKOSTNADER OG -FORPLIKTELSER</t>
  </si>
  <si>
    <t>Kollektiv pensjonsforsikring:</t>
  </si>
  <si>
    <t>NOTE 7 - VARIGE DRIFTSMIDLER</t>
  </si>
  <si>
    <t>Lager</t>
  </si>
  <si>
    <t>Anskaffelseskost pr. 01.01</t>
  </si>
  <si>
    <t>Tilgang til anskaffelseskost</t>
  </si>
  <si>
    <t>Anskaffelseskost pr. 31.12</t>
  </si>
  <si>
    <t>Bokført verdi pr. 31.12.</t>
  </si>
  <si>
    <t>Årets ordinære avskrivning</t>
  </si>
  <si>
    <t>Årets avskrivningsprosent</t>
  </si>
  <si>
    <t>1%</t>
  </si>
  <si>
    <t>4%</t>
  </si>
  <si>
    <t>Aksjekapital</t>
  </si>
  <si>
    <t>SUM</t>
  </si>
  <si>
    <t>Årets resultat</t>
  </si>
  <si>
    <t>A-, B- og C-aksjene er likestilte, med de unntak som følger av vedtektene.</t>
  </si>
  <si>
    <t xml:space="preserve">A-aksjene kan bare eies av Den norske Stat, B-aksjene kan bare eies av Stavanger kommune og </t>
  </si>
  <si>
    <t>C-aksjene kan bare eies av Rogaland Fylkeskommune.</t>
  </si>
  <si>
    <t>KONTANTSTRØMANALYSE</t>
  </si>
  <si>
    <t>Ordinære avskrivninger</t>
  </si>
  <si>
    <t>Endring i varelager</t>
  </si>
  <si>
    <t>Endring i kundefordringer</t>
  </si>
  <si>
    <t>Endring i leverandørgjeld</t>
  </si>
  <si>
    <t>Endring i andre tidsavgrensede poster</t>
  </si>
  <si>
    <t>Netto kontantstrøm fra operasjonelle aktiviteter</t>
  </si>
  <si>
    <t>Netto kontantstrøm fra investeringsaktiviteter</t>
  </si>
  <si>
    <t>Nettoendring i likvide midler gjennom året</t>
  </si>
  <si>
    <t>Likviditetsbeholdning 1.1.</t>
  </si>
  <si>
    <t>Likviditetsbeholdning 31.12.</t>
  </si>
  <si>
    <t xml:space="preserve"> </t>
  </si>
  <si>
    <t>Utbetaling ved kjøp av bygg/varige driftsmidler</t>
  </si>
  <si>
    <t>Innbetaling ved salg av bygg/varige driftsmidler</t>
  </si>
  <si>
    <t>Resultat før skattekostnad og ekstraord. inntekter</t>
  </si>
  <si>
    <t>Arbeidsgiveravgift</t>
  </si>
  <si>
    <t>Dekorasjonskostnader</t>
  </si>
  <si>
    <t>Biler</t>
  </si>
  <si>
    <t>NOTE 8 - SKATTETREKKSKONTO</t>
  </si>
  <si>
    <t>NOTE 9 - KONTOLÅN TIL STATEN</t>
  </si>
  <si>
    <t>NOTE 10 - EGENKAPITAL</t>
  </si>
  <si>
    <t>NOTE 11 - AKSJEKAPITAL OG AKSJONÆRINFORMASJON</t>
  </si>
  <si>
    <t>Tap på fordringer</t>
  </si>
  <si>
    <t>Innbetaling ved salg av investering</t>
  </si>
  <si>
    <t>innskutt egenkapital under posten Annen egenkapital.</t>
  </si>
  <si>
    <t>I forbindelse med saldering av statsbudsjettet (St.prp. nr. 32, 2001/-02) er det bevilget kr. 3,3 mill. i tilskudd til</t>
  </si>
  <si>
    <t>Påløpne kostnader vedrørende forestillinger som skal spilles etter årsskiftet, er i sin helhet kostnadsført i</t>
  </si>
  <si>
    <t>Omløpsmidler og kortsiktig gjeld omfatter poster som forfaller til betaling innen ett år samt poster som knytter</t>
  </si>
  <si>
    <t>Akk. avskrivninger pr. 01.01</t>
  </si>
  <si>
    <t>Teaterhallen</t>
  </si>
  <si>
    <t>Inventar</t>
  </si>
  <si>
    <t>Teater-bygninger</t>
  </si>
  <si>
    <t>Annen godtgjørelse</t>
  </si>
  <si>
    <t>ALLE TALL  I  KR 1 000</t>
  </si>
  <si>
    <t>10/20/ 33%</t>
  </si>
  <si>
    <t>Økonomisk levetid</t>
  </si>
  <si>
    <t>100 år</t>
  </si>
  <si>
    <t>25 år</t>
  </si>
  <si>
    <t>10/5/3 år</t>
  </si>
  <si>
    <t>5 år</t>
  </si>
  <si>
    <t>Avskrivningsmetode</t>
  </si>
  <si>
    <t>Lineær</t>
  </si>
  <si>
    <t>-</t>
  </si>
  <si>
    <t>"Lov om obligatorisk tjenestepensjon", jfr §1, 3.</t>
  </si>
  <si>
    <t>Årets nedskrivning mot tilskudd</t>
  </si>
  <si>
    <t>Akk. nedskrivn. mot tilskudd pr 01.01</t>
  </si>
  <si>
    <t>Sum årets avskrivninger og nedskrivninger</t>
  </si>
  <si>
    <t>ref. note 5.</t>
  </si>
  <si>
    <t>Tilskuddene inntektsføres i det året de er angitt å gjelde for iht tilskuddsbrev.</t>
  </si>
  <si>
    <t>laveste verdi av anskaffelseskost (etter FIFO-prinsippet) og virkelig verdi.</t>
  </si>
  <si>
    <t>Diskonteringsrente</t>
  </si>
  <si>
    <t>Skyldig feriepenger</t>
  </si>
  <si>
    <t>Forskudd fra kunder</t>
  </si>
  <si>
    <t>Påløpte kostnader</t>
  </si>
  <si>
    <t>Antall årsverk</t>
  </si>
  <si>
    <t>Sum akk. avskrivinger og nedskr. pr. 31.12.</t>
  </si>
  <si>
    <t>Driftsoverskudd/-underskudd</t>
  </si>
  <si>
    <t>seg til varekretsløpet. Øvrige poster er klassifisert som anleggsmiddel/langsiktig gjeld.</t>
  </si>
  <si>
    <t>Staten 720 A-aksjer á kr. 100.-</t>
  </si>
  <si>
    <t>Stavanger kommune 276 B-aksjer á kr. 100.-</t>
  </si>
  <si>
    <t>Rogaland fylkeskommune 84 C-aksjer á kr. 100.-</t>
  </si>
  <si>
    <t>Fast bygningsmessig inventar</t>
  </si>
  <si>
    <t>Pensjonsmidler</t>
  </si>
  <si>
    <t>Fast bygn. inv.</t>
  </si>
  <si>
    <t>gjelder demografiske faktorer.</t>
  </si>
  <si>
    <t>De aktuarmessige forutsetningene er basert på vanlige benyttede forutsetninger innen forsikring når det</t>
  </si>
  <si>
    <t>Forventet regulering av løpende pensjoner</t>
  </si>
  <si>
    <t>Forventet avkastning på fondsmidler</t>
  </si>
  <si>
    <t>Forventet G-regulering</t>
  </si>
  <si>
    <t>Forventet lønnsregulering</t>
  </si>
  <si>
    <t>Økonomiske forutsetninger:</t>
  </si>
  <si>
    <t>Ikke resultatført virkning av estimatavvik</t>
  </si>
  <si>
    <t>ordning</t>
  </si>
  <si>
    <t>Kollektiv</t>
  </si>
  <si>
    <t>av antall opptjeningsår, lønnsnivå ved oppnådd pensjonsalder og størrelsen på ytelsene fra folketrygden.</t>
  </si>
  <si>
    <t>Forskudd på tilskudd/gaver</t>
  </si>
  <si>
    <t>Leiligh.</t>
  </si>
  <si>
    <t xml:space="preserve">Posten "Diverse inntekter" består bl.a. av gaver og sponsormidler.   </t>
  </si>
  <si>
    <t>NOTE 12 - AVSETNING TIL VEDLIKEHOLD</t>
  </si>
  <si>
    <t xml:space="preserve">Teatret har utarbeidet en vedlikeholdsplan for vesentlig periodisk vedlikehold. Avsetning til </t>
  </si>
  <si>
    <t>vedlikehold i balansen vedrører periodisk vedlikehold og avsetning til forsømt vedlikehold.</t>
  </si>
  <si>
    <t>Avsetning til vedlikehold</t>
  </si>
  <si>
    <t>Kontantstrøm fra operasjonelle aktiviteter:</t>
  </si>
  <si>
    <t>Nybygg, Teaterveien 1</t>
  </si>
  <si>
    <t>Påløpne kostnader vedrørende forestillinger som skal spilles etter årskiftet er kostnadsført i årets regnskap,</t>
  </si>
  <si>
    <t>Rogaland Teater har tariffestet kollektiv ytelsesbasert tjenestepensjon og er unntatt bestemmelsene i</t>
  </si>
  <si>
    <t>egenkapital til teatret. De bundne midlene ytes ved plassering i et "Kontolån til Staten" som er avdragsfritt,</t>
  </si>
  <si>
    <t>Avgang til anskaffelseskost</t>
  </si>
  <si>
    <t>Gevinst ved salg eiendommer</t>
  </si>
  <si>
    <t>Reversering akk. avskrivninger, avgang</t>
  </si>
  <si>
    <t>Av teknisk utstyr avskrives ENØK-system, personlift, løftesystem Teaterhallen og løpekatt HS med 10%.</t>
  </si>
  <si>
    <t>Gevinst ved salg anleggsmidler</t>
  </si>
  <si>
    <t>Innskutt EK</t>
  </si>
  <si>
    <t>Annen Ek</t>
  </si>
  <si>
    <t>Andel trukket ansatte</t>
  </si>
  <si>
    <t>Omkostninger</t>
  </si>
  <si>
    <t>Påløpte pensjonsforpliktelser pr. 31.12</t>
  </si>
  <si>
    <t>Pensjonsmidler (til markedsverdi) pr. 31.12</t>
  </si>
  <si>
    <t>Netto påløpte pensjonsforpliktelser pr. 31.12</t>
  </si>
  <si>
    <t>Netto påløpte pensjonsforpliktelser inkl aga pr. 31.12</t>
  </si>
  <si>
    <t>Øvrig tilskudd</t>
  </si>
  <si>
    <t>Rogaland Fylkeskommune</t>
  </si>
  <si>
    <t>Stavanger Kommune</t>
  </si>
  <si>
    <t>20/25 år</t>
  </si>
  <si>
    <t>Ikt-systemer, lysutstyr, av-utstyr og verkstedsmaskiner avskrives med 20%.</t>
  </si>
  <si>
    <t>(Alle beløp i tabeller er i NOK 1 000. Beløp i tekster er angitt i hele tall)</t>
  </si>
  <si>
    <t>NOTER TIL REGNSKAPET:</t>
  </si>
  <si>
    <t>Forpliktelsene er dekket gjennom DNB Livsforsikring ASA. I tillegg betaler teatret reguleringspremie</t>
  </si>
  <si>
    <t>for oppsatte rettigheter til medlemmer i KLP som ikke ble overført til ny ordning 01.01.2000.</t>
  </si>
  <si>
    <t xml:space="preserve">I samsvar med Finansdepartmentets anbefaling blir ordningen regnskapsmessig behandlet som en </t>
  </si>
  <si>
    <t>innskuddsbasert ordning med utgiftsføring av den løpende AFP-premien uten avsetninger i regnskapet.</t>
  </si>
  <si>
    <t>Finansdepartmentet begrunner dette med at det ikke finnes tilgjengelig informasjon som kan gi en</t>
  </si>
  <si>
    <t>konsekvent og pålitelig allokering av forpliktelsen for den enkelte virksomhet.</t>
  </si>
  <si>
    <t>Netto pensjonsforpliktelse (-midler)</t>
  </si>
  <si>
    <t>Aga av netto pensjonsforpliktelser (-midler)</t>
  </si>
  <si>
    <t>Netto pensjonsforpliktelse (-midler) uten aga</t>
  </si>
  <si>
    <t>Pensjonskostnad Rogaland Teater:</t>
  </si>
  <si>
    <t>Pensjonspremie betalt</t>
  </si>
  <si>
    <t>Sum kostnad</t>
  </si>
  <si>
    <t>Rømningsvei Intimscenen</t>
  </si>
  <si>
    <t>Annen langsiktig gjeld:</t>
  </si>
  <si>
    <t>Sum annen langsiktig gjeld:</t>
  </si>
  <si>
    <t>Teatret eier i alt 10 selveierleiligheter og 1 enebolig.</t>
  </si>
  <si>
    <t>Av fast bygningsmessig inventar avskrives sprinkleranlegg og varme/kjøleanlegg med 5% og heis Teaterhallen med 4%.</t>
  </si>
  <si>
    <t>Egenkapital 31.12.2012</t>
  </si>
  <si>
    <t>NOTE 14 - ANNEN KORTSIKTIG GJELD</t>
  </si>
  <si>
    <t>NOTE 13 - PANTELÅN SR-BANK</t>
  </si>
  <si>
    <t>Gjeld som forfaller mer enn fem år etter regnskapsårets slutt:</t>
  </si>
  <si>
    <t>1, 14</t>
  </si>
  <si>
    <t>Ordningen omfatter i alt 98 aktive personer og gir rett til definerte fremtidige ytelser. Disse er i hovedsak avhengig</t>
  </si>
  <si>
    <t>Innbetaling fra ny langsiktig gjeld</t>
  </si>
  <si>
    <t>Utbetaling ved nedbetaling av langsiktig gjeld</t>
  </si>
  <si>
    <t>Netto kontantstrøm fra finansieringsaktiviteter</t>
  </si>
  <si>
    <t>(inkluderer kunstneriske tjenester fra selv.næringsdrivende)</t>
  </si>
  <si>
    <t>Pantelån SR-bank</t>
  </si>
  <si>
    <t>Varebeholdningen består utelukkende av varer for videresalg til bar/kafé-virksomheten. Verdien er verdsatt</t>
  </si>
  <si>
    <t>Billettinntekter og andre inntekter i tilknytning til forestillinger blir inntektsført pr forestillingsdato.</t>
  </si>
  <si>
    <t>Kontantstrøm fra investeringaktiviteter:</t>
  </si>
  <si>
    <t>Kontantstrøm fra finansieringsaktiviteter:</t>
  </si>
  <si>
    <t>Inntekter til forestillinger som ikke er avviklet pr 31.12.13 klassifiseres som forskuddsbetalte inntekter og er</t>
  </si>
  <si>
    <t>Styreleder har mottatt kr 68 000 i styrehonorar. Øvrig honorarer til styremedlemmer utgjør kr 111 324.</t>
  </si>
  <si>
    <t>Direktør tom 14/10</t>
  </si>
  <si>
    <t>Konstituert Direktør</t>
  </si>
  <si>
    <t>Teatersjef og direktør/konst. direktør er medlemmer av teatrets kollektive pensjonsordning. De mottar ingen form for bonuser,</t>
  </si>
  <si>
    <t>Bundet skattetrekkskonto utgjør kr 2 316 750.</t>
  </si>
  <si>
    <t>Egenkapital 31.12.2013</t>
  </si>
  <si>
    <t>Pantelånet gjelder finansering av ny rømningsvei Intimscenen.</t>
  </si>
  <si>
    <t>Aksjekapitalen består pr. 31.12.2013 av følgende aksjeklasser:</t>
  </si>
  <si>
    <t>Rømningsvei IS</t>
  </si>
  <si>
    <t>iflg tilskudd</t>
  </si>
  <si>
    <t>regnskapet. Kostnadene utgjør kr 1 434 346. Tilsvarende kostnad i  2012 kr 2 148 927.</t>
  </si>
  <si>
    <t>balanseført under "Annen kortsiktig gjeld", ref. note 14.</t>
  </si>
  <si>
    <t>RESULTATREGNSKAP 2013</t>
  </si>
  <si>
    <t>BALANSE PR. 31.12.13</t>
  </si>
  <si>
    <t>I tillegg har Stavanger Kommune utbetalt kr  1 million og Rogaland Fylkeskommune kr 500 000 til forprosjekt for nytt teaterbygg.</t>
  </si>
  <si>
    <t>Benyttede midler er inntektsført som "Øvrig tilskudd", og ubrukte midler er avsatt i balansen under "Kortsiktig gjeld, ref note 14.</t>
  </si>
  <si>
    <t xml:space="preserve">på ordinær pensjon fra og med fylte 62 år. Ordningen er en ytelsesbasert flerforetakspensjonsordning, </t>
  </si>
  <si>
    <t>og finansieres gjennom premier som fastsettes som en prosent av lønn. I 2013 ble premien satt</t>
  </si>
  <si>
    <t>til 2% av årslønn mellom 1 og 7,1 ganger gjennomsnittlig grunnbeløp. Tilsvarende sats</t>
  </si>
  <si>
    <t>for 2014 er satt til 2,2%. Premieinnbetaling i 2013 utgjorde kr 575 099.</t>
  </si>
  <si>
    <t>Akturarberegning:</t>
  </si>
  <si>
    <t>Bokført verdi på pantesikrede eiendeler er kr 9 967 428.</t>
  </si>
  <si>
    <t>Kostnadsførte investeringer</t>
  </si>
  <si>
    <t>Stavanger,  20.02.2014</t>
  </si>
  <si>
    <t xml:space="preserve">Omløpsmidler vurderes til laveste av anskaffelseskost og virkelig verdi. Kortsiktig gjeld balanseføres til </t>
  </si>
  <si>
    <t>nominelt beløp på etableringstidspunktet.</t>
  </si>
  <si>
    <t>opsjoner eller lignende. I tillegg har teatersjefens enkeltpersonforetak mottatt kr 146 013 i honorar for scenografioppdrag</t>
  </si>
  <si>
    <t>o.l. ved teatret.</t>
  </si>
  <si>
    <t>Revisjonshonoraret for 2013 utgjør kr 130 000, og rådgivningstjenester fra revisor er kr 14 250.</t>
  </si>
  <si>
    <t>Uforsikret ordning (AFP):</t>
  </si>
  <si>
    <t>Rogaland Teater er tilknyttet Fellesordningen for AFP som gir ansatte rett til et livslangt tillegg</t>
  </si>
  <si>
    <t>men rentebærende. Kontolånet er ført som langsiktig fordring på Staten og med en tilsvarende økning av</t>
  </si>
  <si>
    <t>Analysen viser netto kontantstrøm i de operasjonelle aktiviteteten (indirekte modell).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</si>
</sst>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0_);[Red]\(0\)"/>
    <numFmt numFmtId="166" formatCode="#,##0.0"/>
    <numFmt numFmtId="167" formatCode="_ * #,##0_ ;_ * \-#,##0_ ;_ * &quot;-&quot;??_ ;_ @_ "/>
    <numFmt numFmtId="168" formatCode="0_)"/>
    <numFmt numFmtId="169" formatCode="0.0"/>
  </numFmts>
  <fonts count="13" x14ac:knownFonts="1">
    <font>
      <sz val="10"/>
      <name val="Arial"/>
    </font>
    <font>
      <sz val="10"/>
      <name val="Arial"/>
      <family val="2"/>
    </font>
    <font>
      <b/>
      <sz val="9.5"/>
      <name val="Arial"/>
      <family val="2"/>
    </font>
    <font>
      <sz val="9.5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9.5"/>
      <name val="Arial"/>
      <family val="2"/>
    </font>
    <font>
      <i/>
      <sz val="9.5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42">
    <xf numFmtId="0" fontId="0" fillId="0" borderId="0" xfId="0"/>
    <xf numFmtId="0" fontId="2" fillId="0" borderId="0" xfId="0" applyFont="1"/>
    <xf numFmtId="3" fontId="2" fillId="0" borderId="0" xfId="0" applyNumberFormat="1" applyFont="1" applyAlignment="1">
      <alignment horizontal="right"/>
    </xf>
    <xf numFmtId="0" fontId="3" fillId="0" borderId="0" xfId="0" applyFont="1"/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center"/>
    </xf>
    <xf numFmtId="3" fontId="3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1" borderId="0" xfId="0" applyFont="1" applyFill="1"/>
    <xf numFmtId="0" fontId="2" fillId="1" borderId="0" xfId="0" applyFont="1" applyFill="1"/>
    <xf numFmtId="3" fontId="2" fillId="0" borderId="0" xfId="0" applyNumberFormat="1" applyFont="1"/>
    <xf numFmtId="1" fontId="2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right"/>
    </xf>
    <xf numFmtId="0" fontId="3" fillId="0" borderId="0" xfId="0" quotePrefix="1" applyFont="1" applyAlignment="1">
      <alignment horizontal="left"/>
    </xf>
    <xf numFmtId="3" fontId="3" fillId="0" borderId="0" xfId="0" applyNumberFormat="1" applyFont="1" applyBorder="1"/>
    <xf numFmtId="0" fontId="3" fillId="0" borderId="0" xfId="0" applyFont="1" applyAlignment="1">
      <alignment horizontal="left"/>
    </xf>
    <xf numFmtId="0" fontId="3" fillId="0" borderId="0" xfId="0" applyFont="1" applyBorder="1"/>
    <xf numFmtId="10" fontId="3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left"/>
    </xf>
    <xf numFmtId="3" fontId="6" fillId="0" borderId="0" xfId="0" applyNumberFormat="1" applyFont="1" applyBorder="1" applyAlignment="1">
      <alignment horizontal="right"/>
    </xf>
    <xf numFmtId="0" fontId="6" fillId="0" borderId="0" xfId="0" quotePrefix="1" applyFont="1" applyAlignment="1">
      <alignment horizontal="left"/>
    </xf>
    <xf numFmtId="0" fontId="5" fillId="0" borderId="0" xfId="0" applyFont="1" applyAlignment="1">
      <alignment horizontal="center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Alignment="1">
      <alignment horizontal="centerContinuous"/>
    </xf>
    <xf numFmtId="3" fontId="5" fillId="0" borderId="0" xfId="0" applyNumberFormat="1" applyFont="1" applyAlignment="1">
      <alignment horizontal="center"/>
    </xf>
    <xf numFmtId="3" fontId="5" fillId="0" borderId="0" xfId="0" applyNumberFormat="1" applyFont="1"/>
    <xf numFmtId="0" fontId="3" fillId="0" borderId="0" xfId="0" quotePrefix="1" applyFont="1"/>
    <xf numFmtId="0" fontId="8" fillId="0" borderId="0" xfId="0" applyFont="1" applyAlignment="1">
      <alignment horizontal="right" wrapText="1"/>
    </xf>
    <xf numFmtId="0" fontId="7" fillId="0" borderId="0" xfId="0" applyFont="1" applyAlignment="1">
      <alignment horizontal="right"/>
    </xf>
    <xf numFmtId="38" fontId="7" fillId="0" borderId="0" xfId="0" applyNumberFormat="1" applyFont="1" applyAlignment="1">
      <alignment horizontal="right"/>
    </xf>
    <xf numFmtId="0" fontId="3" fillId="1" borderId="0" xfId="0" applyFont="1" applyFill="1" applyAlignment="1">
      <alignment horizontal="center"/>
    </xf>
    <xf numFmtId="0" fontId="2" fillId="1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3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4" fillId="0" borderId="0" xfId="0" applyFont="1" applyFill="1" applyAlignment="1"/>
    <xf numFmtId="3" fontId="3" fillId="1" borderId="0" xfId="0" applyNumberFormat="1" applyFont="1" applyFill="1"/>
    <xf numFmtId="3" fontId="2" fillId="1" borderId="0" xfId="0" applyNumberFormat="1" applyFont="1" applyFill="1"/>
    <xf numFmtId="3" fontId="3" fillId="0" borderId="1" xfId="0" applyNumberFormat="1" applyFont="1" applyBorder="1"/>
    <xf numFmtId="1" fontId="2" fillId="0" borderId="0" xfId="0" applyNumberFormat="1" applyFont="1"/>
    <xf numFmtId="3" fontId="3" fillId="0" borderId="1" xfId="0" applyNumberFormat="1" applyFont="1" applyBorder="1" applyAlignment="1">
      <alignment horizontal="right"/>
    </xf>
    <xf numFmtId="0" fontId="3" fillId="0" borderId="0" xfId="0" applyFont="1" applyAlignment="1"/>
    <xf numFmtId="3" fontId="3" fillId="0" borderId="2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/>
    </xf>
    <xf numFmtId="1" fontId="4" fillId="0" borderId="0" xfId="1" applyNumberFormat="1" applyFont="1" applyBorder="1" applyAlignment="1">
      <alignment horizontal="right"/>
    </xf>
    <xf numFmtId="0" fontId="8" fillId="0" borderId="0" xfId="0" applyFont="1"/>
    <xf numFmtId="0" fontId="8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left"/>
    </xf>
    <xf numFmtId="38" fontId="4" fillId="0" borderId="0" xfId="0" applyNumberFormat="1" applyFont="1"/>
    <xf numFmtId="0" fontId="7" fillId="0" borderId="0" xfId="0" applyFont="1" applyAlignment="1">
      <alignment horizontal="left"/>
    </xf>
    <xf numFmtId="0" fontId="7" fillId="0" borderId="0" xfId="0" applyFont="1"/>
    <xf numFmtId="38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38" fontId="7" fillId="0" borderId="0" xfId="0" applyNumberFormat="1" applyFont="1" applyBorder="1" applyAlignment="1">
      <alignment horizontal="right"/>
    </xf>
    <xf numFmtId="38" fontId="7" fillId="0" borderId="2" xfId="0" applyNumberFormat="1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3" fontId="7" fillId="0" borderId="2" xfId="0" applyNumberFormat="1" applyFont="1" applyBorder="1" applyAlignment="1">
      <alignment horizontal="right"/>
    </xf>
    <xf numFmtId="3" fontId="7" fillId="0" borderId="0" xfId="0" quotePrefix="1" applyNumberFormat="1" applyFont="1" applyAlignment="1">
      <alignment horizontal="right"/>
    </xf>
    <xf numFmtId="3" fontId="7" fillId="0" borderId="0" xfId="0" applyNumberFormat="1" applyFont="1" applyAlignment="1">
      <alignment horizontal="right" wrapText="1"/>
    </xf>
    <xf numFmtId="9" fontId="7" fillId="0" borderId="0" xfId="0" applyNumberFormat="1" applyFont="1" applyAlignment="1">
      <alignment horizontal="right"/>
    </xf>
    <xf numFmtId="3" fontId="7" fillId="0" borderId="0" xfId="0" applyNumberFormat="1" applyFont="1" applyAlignment="1">
      <alignment horizontal="right"/>
    </xf>
    <xf numFmtId="3" fontId="4" fillId="0" borderId="0" xfId="0" applyNumberFormat="1" applyFont="1" applyBorder="1"/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/>
    <xf numFmtId="0" fontId="2" fillId="0" borderId="0" xfId="0" quotePrefix="1" applyNumberFormat="1" applyFont="1" applyAlignment="1">
      <alignment horizontal="left"/>
    </xf>
    <xf numFmtId="1" fontId="2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3" fontId="2" fillId="0" borderId="0" xfId="0" applyNumberFormat="1" applyFont="1" applyBorder="1" applyAlignment="1">
      <alignment horizontal="right"/>
    </xf>
    <xf numFmtId="164" fontId="3" fillId="0" borderId="0" xfId="1" applyFont="1"/>
    <xf numFmtId="0" fontId="2" fillId="0" borderId="1" xfId="0" applyFont="1" applyBorder="1"/>
    <xf numFmtId="0" fontId="1" fillId="0" borderId="0" xfId="0" applyFont="1"/>
    <xf numFmtId="0" fontId="1" fillId="0" borderId="0" xfId="0" applyFont="1" applyAlignment="1">
      <alignment horizontal="right"/>
    </xf>
    <xf numFmtId="38" fontId="1" fillId="0" borderId="0" xfId="0" applyNumberFormat="1" applyFont="1"/>
    <xf numFmtId="0" fontId="1" fillId="0" borderId="0" xfId="0" applyFont="1" applyFill="1" applyBorder="1"/>
    <xf numFmtId="0" fontId="1" fillId="0" borderId="0" xfId="0" applyFont="1" applyBorder="1"/>
    <xf numFmtId="10" fontId="1" fillId="0" borderId="0" xfId="2" applyNumberFormat="1" applyFont="1"/>
    <xf numFmtId="9" fontId="1" fillId="0" borderId="0" xfId="2" applyFont="1"/>
    <xf numFmtId="3" fontId="1" fillId="0" borderId="0" xfId="0" applyNumberFormat="1" applyFont="1" applyBorder="1"/>
    <xf numFmtId="0" fontId="1" fillId="0" borderId="0" xfId="0" applyFont="1" applyBorder="1" applyAlignment="1">
      <alignment horizontal="right"/>
    </xf>
    <xf numFmtId="3" fontId="1" fillId="0" borderId="0" xfId="0" applyNumberFormat="1" applyFont="1"/>
    <xf numFmtId="169" fontId="3" fillId="0" borderId="0" xfId="0" applyNumberFormat="1" applyFont="1" applyAlignment="1">
      <alignment horizontal="right"/>
    </xf>
    <xf numFmtId="166" fontId="3" fillId="0" borderId="0" xfId="0" quotePrefix="1" applyNumberFormat="1" applyFont="1" applyAlignment="1">
      <alignment horizontal="left"/>
    </xf>
    <xf numFmtId="3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0" fontId="7" fillId="0" borderId="1" xfId="0" applyFont="1" applyBorder="1"/>
    <xf numFmtId="3" fontId="3" fillId="0" borderId="0" xfId="0" applyNumberFormat="1" applyFont="1" applyFill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quotePrefix="1" applyFont="1" applyFill="1" applyAlignment="1">
      <alignment horizontal="left"/>
    </xf>
    <xf numFmtId="0" fontId="3" fillId="0" borderId="0" xfId="0" applyFont="1" applyFill="1"/>
    <xf numFmtId="3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3" fontId="3" fillId="0" borderId="1" xfId="0" applyNumberFormat="1" applyFont="1" applyFill="1" applyBorder="1"/>
    <xf numFmtId="0" fontId="3" fillId="0" borderId="0" xfId="0" applyFont="1" applyFill="1" applyAlignment="1">
      <alignment horizontal="right"/>
    </xf>
    <xf numFmtId="0" fontId="3" fillId="0" borderId="0" xfId="0" applyFont="1" applyFill="1" applyAlignment="1"/>
    <xf numFmtId="0" fontId="3" fillId="0" borderId="0" xfId="0" applyFont="1" applyFill="1" applyBorder="1"/>
    <xf numFmtId="38" fontId="3" fillId="0" borderId="0" xfId="0" applyNumberFormat="1" applyFont="1" applyBorder="1"/>
    <xf numFmtId="167" fontId="2" fillId="0" borderId="0" xfId="1" applyNumberFormat="1" applyFont="1" applyBorder="1" applyAlignment="1">
      <alignment horizontal="right"/>
    </xf>
    <xf numFmtId="38" fontId="2" fillId="0" borderId="0" xfId="0" applyNumberFormat="1" applyFont="1"/>
    <xf numFmtId="38" fontId="2" fillId="0" borderId="0" xfId="0" applyNumberFormat="1" applyFont="1" applyBorder="1" applyAlignment="1">
      <alignment horizontal="right"/>
    </xf>
    <xf numFmtId="14" fontId="2" fillId="0" borderId="0" xfId="0" applyNumberFormat="1" applyFont="1" applyAlignment="1">
      <alignment horizontal="right"/>
    </xf>
    <xf numFmtId="168" fontId="2" fillId="0" borderId="0" xfId="0" applyNumberFormat="1" applyFont="1" applyBorder="1" applyAlignment="1"/>
    <xf numFmtId="168" fontId="9" fillId="0" borderId="0" xfId="0" applyNumberFormat="1" applyFont="1" applyBorder="1" applyAlignment="1"/>
    <xf numFmtId="38" fontId="3" fillId="0" borderId="0" xfId="0" applyNumberFormat="1" applyFont="1" applyBorder="1" applyAlignment="1"/>
    <xf numFmtId="38" fontId="3" fillId="0" borderId="0" xfId="0" applyNumberFormat="1" applyFont="1"/>
    <xf numFmtId="38" fontId="3" fillId="0" borderId="0" xfId="0" applyNumberFormat="1" applyFont="1" applyBorder="1" applyAlignment="1">
      <alignment horizontal="right"/>
    </xf>
    <xf numFmtId="38" fontId="3" fillId="0" borderId="1" xfId="0" applyNumberFormat="1" applyFont="1" applyBorder="1"/>
    <xf numFmtId="38" fontId="3" fillId="0" borderId="2" xfId="0" applyNumberFormat="1" applyFont="1" applyBorder="1"/>
    <xf numFmtId="38" fontId="3" fillId="0" borderId="1" xfId="0" applyNumberFormat="1" applyFont="1" applyBorder="1" applyAlignment="1">
      <alignment horizontal="right"/>
    </xf>
    <xf numFmtId="10" fontId="3" fillId="0" borderId="0" xfId="2" applyNumberFormat="1" applyFont="1"/>
    <xf numFmtId="0" fontId="3" fillId="0" borderId="0" xfId="0" applyFont="1" applyAlignment="1">
      <alignment wrapText="1"/>
    </xf>
    <xf numFmtId="38" fontId="2" fillId="0" borderId="0" xfId="0" applyNumberFormat="1" applyFont="1" applyBorder="1"/>
    <xf numFmtId="0" fontId="2" fillId="0" borderId="0" xfId="0" applyFont="1" applyBorder="1"/>
    <xf numFmtId="1" fontId="2" fillId="0" borderId="0" xfId="1" applyNumberFormat="1" applyFont="1" applyBorder="1" applyAlignment="1">
      <alignment horizontal="right"/>
    </xf>
    <xf numFmtId="0" fontId="2" fillId="0" borderId="0" xfId="0" applyFont="1" applyFill="1" applyBorder="1"/>
    <xf numFmtId="167" fontId="3" fillId="0" borderId="0" xfId="1" applyNumberFormat="1" applyFont="1" applyBorder="1" applyAlignment="1">
      <alignment horizontal="center"/>
    </xf>
    <xf numFmtId="167" fontId="3" fillId="0" borderId="1" xfId="1" applyNumberFormat="1" applyFont="1" applyBorder="1" applyAlignment="1">
      <alignment horizontal="center"/>
    </xf>
    <xf numFmtId="167" fontId="3" fillId="0" borderId="2" xfId="1" applyNumberFormat="1" applyFont="1" applyBorder="1" applyAlignment="1">
      <alignment horizontal="center"/>
    </xf>
    <xf numFmtId="9" fontId="3" fillId="0" borderId="0" xfId="2" applyFont="1"/>
    <xf numFmtId="3" fontId="3" fillId="0" borderId="0" xfId="0" applyNumberFormat="1" applyFont="1" applyAlignment="1">
      <alignment horizontal="right"/>
    </xf>
    <xf numFmtId="3" fontId="2" fillId="0" borderId="0" xfId="0" applyNumberFormat="1" applyFont="1" applyBorder="1" applyAlignment="1">
      <alignment horizontal="right"/>
    </xf>
    <xf numFmtId="3" fontId="3" fillId="0" borderId="0" xfId="0" applyNumberFormat="1" applyFont="1" applyFill="1" applyBorder="1"/>
    <xf numFmtId="38" fontId="3" fillId="0" borderId="2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3" fontId="2" fillId="0" borderId="0" xfId="0" applyNumberFormat="1" applyFont="1" applyBorder="1" applyAlignment="1">
      <alignment horizontal="right"/>
    </xf>
    <xf numFmtId="38" fontId="3" fillId="0" borderId="1" xfId="0" applyNumberFormat="1" applyFont="1" applyBorder="1" applyAlignment="1">
      <alignment horizontal="right"/>
    </xf>
    <xf numFmtId="38" fontId="3" fillId="0" borderId="3" xfId="0" applyNumberFormat="1" applyFont="1" applyBorder="1" applyAlignment="1">
      <alignment horizontal="right"/>
    </xf>
    <xf numFmtId="167" fontId="2" fillId="0" borderId="0" xfId="1" applyNumberFormat="1" applyFont="1" applyBorder="1" applyAlignment="1">
      <alignment horizontal="right"/>
    </xf>
    <xf numFmtId="14" fontId="2" fillId="0" borderId="0" xfId="0" applyNumberFormat="1" applyFont="1" applyAlignment="1">
      <alignment horizontal="right"/>
    </xf>
    <xf numFmtId="14" fontId="2" fillId="0" borderId="0" xfId="0" applyNumberFormat="1" applyFont="1" applyAlignment="1">
      <alignment horizontal="center"/>
    </xf>
    <xf numFmtId="38" fontId="3" fillId="0" borderId="0" xfId="0" applyNumberFormat="1" applyFont="1" applyBorder="1" applyAlignment="1">
      <alignment horizontal="right"/>
    </xf>
  </cellXfs>
  <cellStyles count="5">
    <cellStyle name="Fulgt hyperkobling" xfId="4" builtinId="9" hidden="1"/>
    <cellStyle name="Hyperkobling" xfId="3" builtinId="8" hidden="1"/>
    <cellStyle name="Komma" xfId="1" builtinId="3"/>
    <cellStyle name="Normal" xfId="0" builtinId="0"/>
    <cellStyle name="Pros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9525</xdr:rowOff>
    </xdr:from>
    <xdr:to>
      <xdr:col>6</xdr:col>
      <xdr:colOff>9525</xdr:colOff>
      <xdr:row>11</xdr:row>
      <xdr:rowOff>9525</xdr:rowOff>
    </xdr:to>
    <xdr:sp macro="" textlink="">
      <xdr:nvSpPr>
        <xdr:cNvPr id="1272" name="Line 1"/>
        <xdr:cNvSpPr>
          <a:spLocks noChangeShapeType="1"/>
        </xdr:cNvSpPr>
      </xdr:nvSpPr>
      <xdr:spPr bwMode="auto">
        <a:xfrm flipV="1">
          <a:off x="4629150" y="1790700"/>
          <a:ext cx="9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19049</xdr:colOff>
      <xdr:row>435</xdr:row>
      <xdr:rowOff>85725</xdr:rowOff>
    </xdr:from>
    <xdr:to>
      <xdr:col>6</xdr:col>
      <xdr:colOff>533399</xdr:colOff>
      <xdr:row>437</xdr:row>
      <xdr:rowOff>142875</xdr:rowOff>
    </xdr:to>
    <xdr:sp macro="" textlink="">
      <xdr:nvSpPr>
        <xdr:cNvPr id="1026" name="Tekst 4"/>
        <xdr:cNvSpPr txBox="1">
          <a:spLocks noChangeArrowheads="1"/>
        </xdr:cNvSpPr>
      </xdr:nvSpPr>
      <xdr:spPr bwMode="auto">
        <a:xfrm>
          <a:off x="4343399" y="71342250"/>
          <a:ext cx="1819275" cy="4572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Ellen M. Henrichsen</a:t>
          </a:r>
        </a:p>
        <a:p>
          <a:pPr algn="ctr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Direktør</a:t>
          </a:r>
        </a:p>
      </xdr:txBody>
    </xdr:sp>
    <xdr:clientData/>
  </xdr:twoCellAnchor>
  <xdr:twoCellAnchor>
    <xdr:from>
      <xdr:col>0</xdr:col>
      <xdr:colOff>1143000</xdr:colOff>
      <xdr:row>435</xdr:row>
      <xdr:rowOff>76200</xdr:rowOff>
    </xdr:from>
    <xdr:to>
      <xdr:col>2</xdr:col>
      <xdr:colOff>352425</xdr:colOff>
      <xdr:row>437</xdr:row>
      <xdr:rowOff>114300</xdr:rowOff>
    </xdr:to>
    <xdr:sp macro="" textlink="">
      <xdr:nvSpPr>
        <xdr:cNvPr id="1027" name="Tekst 6"/>
        <xdr:cNvSpPr txBox="1">
          <a:spLocks noChangeArrowheads="1"/>
        </xdr:cNvSpPr>
      </xdr:nvSpPr>
      <xdr:spPr bwMode="auto">
        <a:xfrm>
          <a:off x="1143000" y="71647050"/>
          <a:ext cx="2076450" cy="438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Arne Nøst</a:t>
          </a:r>
        </a:p>
        <a:p>
          <a:pPr algn="ctr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Teatersjef</a:t>
          </a:r>
        </a:p>
      </xdr:txBody>
    </xdr:sp>
    <xdr:clientData/>
  </xdr:twoCellAnchor>
  <xdr:twoCellAnchor editAs="oneCell">
    <xdr:from>
      <xdr:col>5</xdr:col>
      <xdr:colOff>447675</xdr:colOff>
      <xdr:row>430</xdr:row>
      <xdr:rowOff>180975</xdr:rowOff>
    </xdr:from>
    <xdr:to>
      <xdr:col>7</xdr:col>
      <xdr:colOff>266700</xdr:colOff>
      <xdr:row>431</xdr:row>
      <xdr:rowOff>190500</xdr:rowOff>
    </xdr:to>
    <xdr:sp macro="" textlink="">
      <xdr:nvSpPr>
        <xdr:cNvPr id="1030" name="Tekst 11"/>
        <xdr:cNvSpPr txBox="1">
          <a:spLocks noChangeArrowheads="1"/>
        </xdr:cNvSpPr>
      </xdr:nvSpPr>
      <xdr:spPr bwMode="auto">
        <a:xfrm>
          <a:off x="4448175" y="71037450"/>
          <a:ext cx="11715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22860" anchor="ctr" upright="1"/>
        <a:lstStyle/>
        <a:p>
          <a:pPr algn="r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Mette Arnstad</a:t>
          </a:r>
        </a:p>
      </xdr:txBody>
    </xdr:sp>
    <xdr:clientData/>
  </xdr:twoCellAnchor>
  <xdr:oneCellAnchor>
    <xdr:from>
      <xdr:col>6</xdr:col>
      <xdr:colOff>26130</xdr:colOff>
      <xdr:row>425</xdr:row>
      <xdr:rowOff>179731</xdr:rowOff>
    </xdr:from>
    <xdr:ext cx="1002903" cy="231089"/>
    <xdr:sp macro="" textlink="">
      <xdr:nvSpPr>
        <xdr:cNvPr id="1031" name="Tekst 12"/>
        <xdr:cNvSpPr txBox="1">
          <a:spLocks noChangeArrowheads="1"/>
        </xdr:cNvSpPr>
      </xdr:nvSpPr>
      <xdr:spPr bwMode="auto">
        <a:xfrm>
          <a:off x="5655405" y="69750331"/>
          <a:ext cx="1002903" cy="231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22860" rIns="27432" bIns="22860" anchor="ctr" upright="1">
          <a:spAutoFit/>
        </a:bodyPr>
        <a:lstStyle/>
        <a:p>
          <a:pPr algn="r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Grete Larssen</a:t>
          </a:r>
          <a:endParaRPr lang="nb-NO" sz="1200" b="0" i="0" u="none" strike="noStrike" baseline="0">
            <a:solidFill>
              <a:srgbClr val="000000"/>
            </a:solidFill>
            <a:latin typeface="Garamond"/>
          </a:endParaRPr>
        </a:p>
      </xdr:txBody>
    </xdr:sp>
    <xdr:clientData/>
  </xdr:oneCellAnchor>
  <xdr:oneCellAnchor>
    <xdr:from>
      <xdr:col>2</xdr:col>
      <xdr:colOff>308876</xdr:colOff>
      <xdr:row>421</xdr:row>
      <xdr:rowOff>38018</xdr:rowOff>
    </xdr:from>
    <xdr:ext cx="1278684" cy="400238"/>
    <xdr:sp macro="" textlink="">
      <xdr:nvSpPr>
        <xdr:cNvPr id="1032" name="Tekst 7"/>
        <xdr:cNvSpPr txBox="1">
          <a:spLocks noChangeArrowheads="1"/>
        </xdr:cNvSpPr>
      </xdr:nvSpPr>
      <xdr:spPr bwMode="auto">
        <a:xfrm>
          <a:off x="2413901" y="68522768"/>
          <a:ext cx="1278684" cy="4002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27432" tIns="22860" rIns="27432" bIns="22860" anchor="ctr" upright="1">
          <a:spAutoFit/>
        </a:bodyPr>
        <a:lstStyle/>
        <a:p>
          <a:pPr algn="ctr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Brit K. S. Rugland</a:t>
          </a:r>
        </a:p>
        <a:p>
          <a:pPr algn="ctr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Styrets leder</a:t>
          </a:r>
        </a:p>
      </xdr:txBody>
    </xdr:sp>
    <xdr:clientData/>
  </xdr:oneCellAnchor>
  <xdr:twoCellAnchor>
    <xdr:from>
      <xdr:col>0</xdr:col>
      <xdr:colOff>28575</xdr:colOff>
      <xdr:row>421</xdr:row>
      <xdr:rowOff>0</xdr:rowOff>
    </xdr:from>
    <xdr:to>
      <xdr:col>0</xdr:col>
      <xdr:colOff>1447800</xdr:colOff>
      <xdr:row>422</xdr:row>
      <xdr:rowOff>47625</xdr:rowOff>
    </xdr:to>
    <xdr:sp macro="" textlink="">
      <xdr:nvSpPr>
        <xdr:cNvPr id="1033" name="Tekst 8"/>
        <xdr:cNvSpPr txBox="1">
          <a:spLocks noChangeArrowheads="1"/>
        </xdr:cNvSpPr>
      </xdr:nvSpPr>
      <xdr:spPr bwMode="auto">
        <a:xfrm>
          <a:off x="28575" y="69456300"/>
          <a:ext cx="14192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Agnes Inderhaug</a:t>
          </a:r>
        </a:p>
      </xdr:txBody>
    </xdr:sp>
    <xdr:clientData/>
  </xdr:twoCellAnchor>
  <xdr:oneCellAnchor>
    <xdr:from>
      <xdr:col>6</xdr:col>
      <xdr:colOff>24574</xdr:colOff>
      <xdr:row>420</xdr:row>
      <xdr:rowOff>193198</xdr:rowOff>
    </xdr:from>
    <xdr:ext cx="1327864" cy="223203"/>
    <xdr:sp macro="" textlink="">
      <xdr:nvSpPr>
        <xdr:cNvPr id="1034" name="Tekst 13"/>
        <xdr:cNvSpPr txBox="1">
          <a:spLocks noChangeArrowheads="1"/>
        </xdr:cNvSpPr>
      </xdr:nvSpPr>
      <xdr:spPr bwMode="auto">
        <a:xfrm>
          <a:off x="5653849" y="68763673"/>
          <a:ext cx="1327864" cy="223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22860" rIns="27432" bIns="22860" anchor="ctr" upright="1">
          <a:spAutoFit/>
        </a:bodyPr>
        <a:lstStyle/>
        <a:p>
          <a:pPr algn="r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Ardashir Esfandiari</a:t>
          </a:r>
        </a:p>
      </xdr:txBody>
    </xdr:sp>
    <xdr:clientData/>
  </xdr:oneCellAnchor>
  <xdr:oneCellAnchor>
    <xdr:from>
      <xdr:col>0</xdr:col>
      <xdr:colOff>43287</xdr:colOff>
      <xdr:row>426</xdr:row>
      <xdr:rowOff>2698</xdr:rowOff>
    </xdr:from>
    <xdr:ext cx="1056123" cy="223203"/>
    <xdr:sp macro="" textlink="">
      <xdr:nvSpPr>
        <xdr:cNvPr id="1035" name="Tekst 7"/>
        <xdr:cNvSpPr txBox="1">
          <a:spLocks noChangeArrowheads="1"/>
        </xdr:cNvSpPr>
      </xdr:nvSpPr>
      <xdr:spPr bwMode="auto">
        <a:xfrm>
          <a:off x="43287" y="69773323"/>
          <a:ext cx="1056123" cy="22320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27432" tIns="22860" rIns="27432" bIns="22860" anchor="ctr" upright="1">
          <a:spAutoFit/>
        </a:bodyPr>
        <a:lstStyle/>
        <a:p>
          <a:pPr algn="ctr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Odd Jo Forsell</a:t>
          </a:r>
        </a:p>
      </xdr:txBody>
    </xdr:sp>
    <xdr:clientData/>
  </xdr:oneCellAnchor>
  <xdr:oneCellAnchor>
    <xdr:from>
      <xdr:col>0</xdr:col>
      <xdr:colOff>70396</xdr:colOff>
      <xdr:row>430</xdr:row>
      <xdr:rowOff>155098</xdr:rowOff>
    </xdr:from>
    <xdr:ext cx="1201804" cy="223203"/>
    <xdr:sp macro="" textlink="">
      <xdr:nvSpPr>
        <xdr:cNvPr id="1036" name="Tekst 7"/>
        <xdr:cNvSpPr txBox="1">
          <a:spLocks noChangeArrowheads="1"/>
        </xdr:cNvSpPr>
      </xdr:nvSpPr>
      <xdr:spPr bwMode="auto">
        <a:xfrm>
          <a:off x="70396" y="70725823"/>
          <a:ext cx="1201804" cy="22320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27432" tIns="22860" rIns="27432" bIns="22860" anchor="ctr" upright="1">
          <a:spAutoFit/>
        </a:bodyPr>
        <a:lstStyle/>
        <a:p>
          <a:pPr algn="ctr" rtl="0">
            <a:defRPr sz="1000"/>
          </a:pPr>
          <a:r>
            <a:rPr lang="nb-NO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Tone Brandtzæg</a:t>
          </a:r>
        </a:p>
      </xdr:txBody>
    </xdr:sp>
    <xdr:clientData/>
  </xdr:oneCellAnchor>
  <xdr:twoCellAnchor editAs="oneCell">
    <xdr:from>
      <xdr:col>0</xdr:col>
      <xdr:colOff>25400</xdr:colOff>
      <xdr:row>416</xdr:row>
      <xdr:rowOff>50800</xdr:rowOff>
    </xdr:from>
    <xdr:to>
      <xdr:col>11</xdr:col>
      <xdr:colOff>28186</xdr:colOff>
      <xdr:row>504</xdr:row>
      <xdr:rowOff>101600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63957200"/>
          <a:ext cx="10137386" cy="1433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T506"/>
  <sheetViews>
    <sheetView tabSelected="1" workbookViewId="0">
      <selection activeCell="L478" sqref="L478"/>
    </sheetView>
  </sheetViews>
  <sheetFormatPr baseColWidth="10" defaultColWidth="9.1640625" defaultRowHeight="12" x14ac:dyDescent="0"/>
  <cols>
    <col min="1" max="1" width="31.5" style="3" customWidth="1"/>
    <col min="2" max="2" width="11.5" style="3" bestFit="1" customWidth="1"/>
    <col min="3" max="3" width="11" style="3" customWidth="1"/>
    <col min="4" max="4" width="10.83203125" style="3" customWidth="1"/>
    <col min="5" max="5" width="10.1640625" style="3" bestFit="1" customWidth="1"/>
    <col min="6" max="6" width="9.5" style="73" customWidth="1"/>
    <col min="7" max="7" width="10.83203125" style="3" bestFit="1" customWidth="1"/>
    <col min="8" max="8" width="8.83203125" style="8" bestFit="1" customWidth="1"/>
    <col min="9" max="9" width="12.83203125" style="3" customWidth="1"/>
    <col min="10" max="10" width="9" style="3" bestFit="1" customWidth="1"/>
    <col min="11" max="11" width="7" style="3" bestFit="1" customWidth="1"/>
    <col min="12" max="12" width="35.5" style="1" customWidth="1"/>
    <col min="13" max="14" width="9.1640625" style="3" customWidth="1"/>
    <col min="15" max="15" width="6.5" style="3" bestFit="1" customWidth="1"/>
    <col min="16" max="16384" width="9.1640625" style="3"/>
  </cols>
  <sheetData>
    <row r="1" spans="1:8">
      <c r="A1" s="4" t="s">
        <v>263</v>
      </c>
      <c r="B1" s="4"/>
      <c r="C1" s="4"/>
      <c r="D1" s="1"/>
      <c r="E1" s="1"/>
      <c r="F1" s="2"/>
      <c r="G1" s="1"/>
      <c r="H1" s="74"/>
    </row>
    <row r="2" spans="1:8">
      <c r="A2" s="4"/>
      <c r="B2" s="4"/>
      <c r="C2" s="4"/>
      <c r="D2" s="1"/>
      <c r="E2" s="1"/>
      <c r="F2" s="2"/>
      <c r="G2" s="1"/>
      <c r="H2" s="74"/>
    </row>
    <row r="3" spans="1:8">
      <c r="A3" s="4" t="s">
        <v>144</v>
      </c>
      <c r="B3" s="4"/>
      <c r="C3" s="4"/>
      <c r="D3" s="1"/>
      <c r="E3" s="1"/>
      <c r="F3" s="2"/>
      <c r="G3" s="1"/>
      <c r="H3" s="74"/>
    </row>
    <row r="4" spans="1:8">
      <c r="A4" s="1"/>
      <c r="B4" s="1"/>
      <c r="C4" s="1"/>
      <c r="D4" s="1"/>
      <c r="E4" s="1"/>
      <c r="F4" s="2"/>
      <c r="G4" s="1"/>
      <c r="H4" s="74"/>
    </row>
    <row r="5" spans="1:8">
      <c r="A5" s="1"/>
      <c r="B5" s="1"/>
      <c r="C5" s="1"/>
      <c r="D5" s="5" t="s">
        <v>0</v>
      </c>
      <c r="E5" s="1">
        <v>2013</v>
      </c>
      <c r="F5" s="1">
        <v>2012</v>
      </c>
      <c r="G5" s="5"/>
      <c r="H5" s="74"/>
    </row>
    <row r="6" spans="1:8">
      <c r="A6" s="1"/>
      <c r="B6" s="1"/>
      <c r="C6" s="1"/>
      <c r="D6" s="5"/>
      <c r="F6" s="3"/>
      <c r="G6" s="1"/>
      <c r="H6" s="74"/>
    </row>
    <row r="7" spans="1:8">
      <c r="A7" s="1" t="s">
        <v>1</v>
      </c>
      <c r="B7" s="1"/>
      <c r="C7" s="1"/>
      <c r="D7" s="5"/>
      <c r="E7" s="6"/>
      <c r="F7" s="6"/>
      <c r="G7" s="1"/>
      <c r="H7" s="74"/>
    </row>
    <row r="8" spans="1:8">
      <c r="D8" s="7"/>
      <c r="E8" s="6"/>
      <c r="F8" s="6"/>
    </row>
    <row r="9" spans="1:8">
      <c r="A9" s="3" t="s">
        <v>2</v>
      </c>
      <c r="D9" s="7">
        <v>2</v>
      </c>
      <c r="E9" s="6">
        <f>+E161</f>
        <v>18500</v>
      </c>
      <c r="F9" s="6">
        <f>+F161</f>
        <v>24259</v>
      </c>
      <c r="G9" s="6"/>
      <c r="H9" s="73"/>
    </row>
    <row r="10" spans="1:8">
      <c r="A10" s="3" t="s">
        <v>3</v>
      </c>
      <c r="D10" s="7">
        <v>3</v>
      </c>
      <c r="E10" s="6">
        <f>+D180</f>
        <v>77520</v>
      </c>
      <c r="F10" s="6">
        <f>+E180</f>
        <v>74200</v>
      </c>
      <c r="G10" s="6"/>
      <c r="H10" s="73"/>
    </row>
    <row r="11" spans="1:8">
      <c r="A11" s="3" t="s">
        <v>199</v>
      </c>
      <c r="D11" s="7"/>
      <c r="E11" s="6">
        <v>1422</v>
      </c>
      <c r="F11" s="6">
        <v>2276</v>
      </c>
      <c r="G11" s="6"/>
      <c r="H11" s="73"/>
    </row>
    <row r="12" spans="1:8">
      <c r="D12" s="7"/>
      <c r="E12" s="6"/>
      <c r="F12" s="6"/>
      <c r="G12" s="15"/>
      <c r="H12" s="73"/>
    </row>
    <row r="13" spans="1:8">
      <c r="A13" s="9" t="s">
        <v>4</v>
      </c>
      <c r="B13" s="9"/>
      <c r="C13" s="9"/>
      <c r="D13" s="32"/>
      <c r="E13" s="41">
        <f>+E9+E10+E11</f>
        <v>97442</v>
      </c>
      <c r="F13" s="41">
        <f>+F9+F10+F11</f>
        <v>100735</v>
      </c>
      <c r="H13" s="73"/>
    </row>
    <row r="14" spans="1:8">
      <c r="D14" s="7"/>
      <c r="E14" s="73"/>
      <c r="G14" s="6"/>
      <c r="H14" s="73"/>
    </row>
    <row r="15" spans="1:8">
      <c r="D15" s="7"/>
      <c r="E15" s="73"/>
      <c r="G15" s="6"/>
      <c r="H15" s="73"/>
    </row>
    <row r="16" spans="1:8">
      <c r="A16" s="1" t="s">
        <v>5</v>
      </c>
      <c r="B16" s="1"/>
      <c r="C16" s="1"/>
      <c r="D16" s="7"/>
      <c r="E16" s="73"/>
      <c r="G16" s="6"/>
      <c r="H16" s="73"/>
    </row>
    <row r="17" spans="1:12">
      <c r="D17" s="7"/>
      <c r="E17" s="73"/>
      <c r="G17" s="6"/>
      <c r="H17" s="73"/>
    </row>
    <row r="18" spans="1:12">
      <c r="A18" s="3" t="s">
        <v>6</v>
      </c>
      <c r="D18" s="7">
        <v>4.5999999999999996</v>
      </c>
      <c r="E18" s="6">
        <f>+E195</f>
        <v>67437</v>
      </c>
      <c r="F18" s="6">
        <v>67115</v>
      </c>
      <c r="G18" s="6"/>
      <c r="H18" s="73"/>
    </row>
    <row r="19" spans="1:12">
      <c r="A19" s="3" t="s">
        <v>7</v>
      </c>
      <c r="D19" s="7">
        <v>7</v>
      </c>
      <c r="E19" s="73">
        <v>2186</v>
      </c>
      <c r="F19" s="73">
        <v>1096</v>
      </c>
      <c r="G19" s="6"/>
      <c r="H19" s="73"/>
    </row>
    <row r="20" spans="1:12">
      <c r="A20" s="3" t="s">
        <v>8</v>
      </c>
      <c r="D20" s="7">
        <v>5</v>
      </c>
      <c r="E20" s="6">
        <f>+E225</f>
        <v>26863</v>
      </c>
      <c r="F20" s="6">
        <f>99780-F18-F19</f>
        <v>31569</v>
      </c>
      <c r="G20" s="6"/>
      <c r="H20" s="73"/>
    </row>
    <row r="21" spans="1:12" s="78" customFormat="1">
      <c r="H21" s="79"/>
      <c r="L21" s="52"/>
    </row>
    <row r="22" spans="1:12">
      <c r="A22" s="9" t="s">
        <v>9</v>
      </c>
      <c r="B22" s="9"/>
      <c r="C22" s="9"/>
      <c r="D22" s="32"/>
      <c r="E22" s="41">
        <f>SUM(E18:E20)-1</f>
        <v>96485</v>
      </c>
      <c r="F22" s="41">
        <f>SUM(F18:F20)+1</f>
        <v>99781</v>
      </c>
      <c r="H22" s="2"/>
    </row>
    <row r="23" spans="1:12">
      <c r="D23" s="7"/>
      <c r="E23" s="73"/>
      <c r="G23" s="6"/>
      <c r="H23" s="73"/>
    </row>
    <row r="24" spans="1:12">
      <c r="D24" s="7"/>
      <c r="E24" s="73"/>
      <c r="G24" s="6"/>
      <c r="H24" s="73"/>
    </row>
    <row r="25" spans="1:12">
      <c r="A25" s="10" t="s">
        <v>167</v>
      </c>
      <c r="B25" s="10"/>
      <c r="C25" s="10"/>
      <c r="D25" s="32"/>
      <c r="E25" s="42">
        <f>+E13-E22-1</f>
        <v>956</v>
      </c>
      <c r="F25" s="42">
        <f>+F13-F22+1</f>
        <v>955</v>
      </c>
      <c r="H25" s="2"/>
    </row>
    <row r="26" spans="1:12">
      <c r="D26" s="7"/>
      <c r="E26" s="73"/>
      <c r="G26" s="6"/>
      <c r="H26" s="73"/>
    </row>
    <row r="27" spans="1:12">
      <c r="D27" s="7"/>
      <c r="E27" s="73"/>
      <c r="G27" s="6"/>
      <c r="H27" s="73"/>
    </row>
    <row r="28" spans="1:12">
      <c r="A28" s="1" t="s">
        <v>10</v>
      </c>
      <c r="B28" s="1"/>
      <c r="C28" s="1"/>
      <c r="D28" s="7"/>
      <c r="E28" s="73"/>
      <c r="G28" s="6"/>
      <c r="H28" s="73"/>
    </row>
    <row r="29" spans="1:12">
      <c r="D29" s="7"/>
      <c r="E29" s="73"/>
      <c r="G29" s="6"/>
      <c r="H29" s="73"/>
    </row>
    <row r="30" spans="1:12">
      <c r="A30" s="3" t="s">
        <v>11</v>
      </c>
      <c r="D30" s="7"/>
      <c r="E30" s="6">
        <v>568</v>
      </c>
      <c r="F30" s="6">
        <v>788</v>
      </c>
      <c r="G30" s="6"/>
      <c r="H30" s="73"/>
    </row>
    <row r="31" spans="1:12">
      <c r="A31" s="3" t="s">
        <v>12</v>
      </c>
      <c r="D31" s="7"/>
      <c r="E31" s="6">
        <v>731</v>
      </c>
      <c r="F31" s="6">
        <v>387</v>
      </c>
      <c r="G31" s="6"/>
      <c r="H31" s="73"/>
    </row>
    <row r="32" spans="1:12">
      <c r="D32" s="7"/>
      <c r="E32" s="6"/>
      <c r="F32" s="6"/>
      <c r="G32" s="6"/>
      <c r="H32" s="73"/>
    </row>
    <row r="33" spans="1:8">
      <c r="A33" s="3" t="s">
        <v>13</v>
      </c>
      <c r="D33" s="7"/>
      <c r="E33" s="6">
        <f>E30-E31</f>
        <v>-163</v>
      </c>
      <c r="F33" s="6">
        <f>F30-F31</f>
        <v>401</v>
      </c>
      <c r="G33" s="11"/>
      <c r="H33" s="2"/>
    </row>
    <row r="34" spans="1:8">
      <c r="D34" s="7"/>
      <c r="E34" s="15"/>
      <c r="F34" s="15"/>
      <c r="H34" s="91"/>
    </row>
    <row r="35" spans="1:8">
      <c r="D35" s="7"/>
      <c r="E35" s="6"/>
      <c r="F35" s="6"/>
      <c r="G35" s="6"/>
      <c r="H35" s="73"/>
    </row>
    <row r="36" spans="1:8">
      <c r="A36" s="10" t="s">
        <v>14</v>
      </c>
      <c r="B36" s="10"/>
      <c r="C36" s="10"/>
      <c r="D36" s="33"/>
      <c r="E36" s="41">
        <f>E25+E33+E34</f>
        <v>793</v>
      </c>
      <c r="F36" s="41">
        <f>+F25+F33</f>
        <v>1356</v>
      </c>
      <c r="G36" s="11"/>
      <c r="H36" s="2"/>
    </row>
    <row r="37" spans="1:8">
      <c r="A37" s="1"/>
      <c r="B37" s="1"/>
      <c r="C37" s="1"/>
      <c r="D37" s="5"/>
      <c r="E37" s="6"/>
      <c r="F37" s="6"/>
      <c r="G37" s="11"/>
      <c r="H37" s="2"/>
    </row>
    <row r="38" spans="1:8">
      <c r="D38" s="7"/>
      <c r="E38" s="73"/>
      <c r="G38" s="6"/>
      <c r="H38" s="73"/>
    </row>
    <row r="39" spans="1:8">
      <c r="A39" s="1" t="s">
        <v>15</v>
      </c>
      <c r="B39" s="1"/>
      <c r="C39" s="1"/>
      <c r="D39" s="7"/>
      <c r="E39" s="73"/>
      <c r="G39" s="6"/>
      <c r="H39" s="73"/>
    </row>
    <row r="40" spans="1:8">
      <c r="D40" s="7"/>
      <c r="F40" s="3"/>
      <c r="G40" s="6"/>
      <c r="H40" s="73"/>
    </row>
    <row r="41" spans="1:8">
      <c r="A41" s="3" t="s">
        <v>16</v>
      </c>
      <c r="D41" s="7">
        <v>10</v>
      </c>
      <c r="E41" s="43">
        <f>+E36</f>
        <v>793</v>
      </c>
      <c r="F41" s="43">
        <f>+F36</f>
        <v>1356</v>
      </c>
      <c r="H41" s="73"/>
    </row>
    <row r="42" spans="1:8">
      <c r="D42" s="7"/>
      <c r="E42" s="15"/>
      <c r="F42" s="15"/>
      <c r="H42" s="91"/>
    </row>
    <row r="43" spans="1:8">
      <c r="A43" s="3" t="s">
        <v>17</v>
      </c>
      <c r="D43" s="7"/>
      <c r="E43" s="43">
        <f>SUM(E40:E42)</f>
        <v>793</v>
      </c>
      <c r="F43" s="43">
        <f>SUM(F40:F42)</f>
        <v>1356</v>
      </c>
      <c r="H43" s="73"/>
    </row>
    <row r="44" spans="1:8">
      <c r="A44" s="4" t="s">
        <v>264</v>
      </c>
      <c r="B44" s="4"/>
      <c r="C44" s="4"/>
      <c r="D44" s="5"/>
      <c r="E44" s="2"/>
      <c r="F44" s="2"/>
      <c r="H44" s="2"/>
    </row>
    <row r="45" spans="1:8">
      <c r="A45" s="1"/>
      <c r="B45" s="1"/>
      <c r="C45" s="1"/>
      <c r="D45" s="5" t="s">
        <v>0</v>
      </c>
      <c r="E45" s="12">
        <f>E5</f>
        <v>2013</v>
      </c>
      <c r="F45" s="12">
        <f>F5</f>
        <v>2012</v>
      </c>
      <c r="H45" s="13"/>
    </row>
    <row r="46" spans="1:8">
      <c r="A46" s="1" t="s">
        <v>18</v>
      </c>
      <c r="B46" s="1"/>
      <c r="C46" s="1"/>
      <c r="D46" s="5"/>
      <c r="E46" s="2"/>
      <c r="F46" s="2"/>
      <c r="H46" s="2"/>
    </row>
    <row r="47" spans="1:8">
      <c r="A47" s="1"/>
      <c r="B47" s="1"/>
      <c r="C47" s="1"/>
      <c r="D47" s="5"/>
      <c r="E47" s="2"/>
      <c r="F47" s="2"/>
      <c r="H47" s="2"/>
    </row>
    <row r="48" spans="1:8">
      <c r="A48" s="1" t="s">
        <v>19</v>
      </c>
      <c r="B48" s="1"/>
      <c r="C48" s="1"/>
      <c r="D48" s="7"/>
      <c r="F48" s="3"/>
      <c r="H48" s="73"/>
    </row>
    <row r="49" spans="1:20">
      <c r="A49" s="3" t="s">
        <v>20</v>
      </c>
      <c r="D49" s="7"/>
      <c r="E49" s="6"/>
      <c r="F49" s="6"/>
      <c r="H49" s="73"/>
      <c r="O49" s="5"/>
      <c r="P49" s="5"/>
      <c r="Q49" s="1"/>
      <c r="R49" s="8"/>
      <c r="T49" s="80"/>
    </row>
    <row r="50" spans="1:20">
      <c r="A50" s="3" t="s">
        <v>21</v>
      </c>
      <c r="D50" s="7">
        <v>7</v>
      </c>
      <c r="E50" s="6">
        <f>18061-17925</f>
        <v>136</v>
      </c>
      <c r="F50" s="6">
        <f>18061-17745</f>
        <v>316</v>
      </c>
      <c r="H50" s="73"/>
      <c r="L50" s="53"/>
      <c r="O50" s="5"/>
      <c r="P50" s="5"/>
      <c r="Q50" s="1"/>
      <c r="R50" s="8"/>
      <c r="T50" s="80"/>
    </row>
    <row r="51" spans="1:20">
      <c r="A51" s="3" t="s">
        <v>194</v>
      </c>
      <c r="D51" s="7">
        <v>7</v>
      </c>
      <c r="E51" s="6">
        <f>5000-608</f>
        <v>4392</v>
      </c>
      <c r="F51" s="6">
        <f>5000-558</f>
        <v>4442</v>
      </c>
      <c r="H51" s="73"/>
      <c r="L51" s="51"/>
      <c r="M51" s="29"/>
      <c r="N51" s="29"/>
      <c r="O51" s="34"/>
      <c r="P51" s="29"/>
      <c r="Q51" s="29"/>
      <c r="R51" s="34"/>
      <c r="S51" s="34"/>
      <c r="T51" s="34"/>
    </row>
    <row r="52" spans="1:20">
      <c r="A52" s="14" t="s">
        <v>22</v>
      </c>
      <c r="B52" s="14"/>
      <c r="C52" s="14"/>
      <c r="D52" s="7">
        <v>7</v>
      </c>
      <c r="E52" s="6">
        <v>0</v>
      </c>
      <c r="F52" s="6">
        <v>0</v>
      </c>
      <c r="H52" s="73"/>
      <c r="L52" s="50"/>
      <c r="M52" s="30"/>
      <c r="N52" s="30"/>
      <c r="O52" s="30"/>
      <c r="P52" s="30"/>
      <c r="Q52" s="30"/>
      <c r="R52" s="30"/>
      <c r="S52" s="30"/>
      <c r="T52" s="80"/>
    </row>
    <row r="53" spans="1:20">
      <c r="A53" s="3" t="s">
        <v>23</v>
      </c>
      <c r="D53" s="7">
        <v>7</v>
      </c>
      <c r="E53" s="15">
        <v>23484</v>
      </c>
      <c r="F53" s="15">
        <v>21674</v>
      </c>
      <c r="H53" s="73"/>
      <c r="L53" s="50"/>
      <c r="M53" s="31"/>
      <c r="N53" s="31"/>
      <c r="O53" s="31"/>
      <c r="P53" s="31"/>
      <c r="Q53" s="31"/>
      <c r="R53" s="31"/>
      <c r="S53" s="35"/>
      <c r="T53" s="80"/>
    </row>
    <row r="54" spans="1:20">
      <c r="A54" s="3" t="s">
        <v>140</v>
      </c>
      <c r="D54" s="7">
        <v>7</v>
      </c>
      <c r="E54" s="15">
        <f>4504-316</f>
        <v>4188</v>
      </c>
      <c r="F54" s="15">
        <f>4504-271</f>
        <v>4233</v>
      </c>
      <c r="H54" s="73"/>
      <c r="L54" s="50"/>
      <c r="M54" s="31"/>
      <c r="N54" s="31"/>
      <c r="O54" s="31"/>
      <c r="P54" s="31"/>
      <c r="Q54" s="31"/>
      <c r="R54" s="31"/>
      <c r="S54" s="30"/>
      <c r="T54" s="80"/>
    </row>
    <row r="55" spans="1:20">
      <c r="A55" s="3" t="s">
        <v>230</v>
      </c>
      <c r="D55" s="7">
        <v>7</v>
      </c>
      <c r="E55" s="15">
        <f>10784-817</f>
        <v>9967</v>
      </c>
      <c r="F55" s="15">
        <v>8785</v>
      </c>
      <c r="H55" s="73"/>
      <c r="L55" s="50"/>
      <c r="M55" s="31"/>
      <c r="N55" s="31"/>
      <c r="O55" s="31"/>
      <c r="P55" s="31"/>
      <c r="Q55" s="31"/>
      <c r="R55" s="31"/>
      <c r="S55" s="30"/>
      <c r="T55" s="80"/>
    </row>
    <row r="56" spans="1:20">
      <c r="A56" s="3" t="s">
        <v>141</v>
      </c>
      <c r="D56" s="7">
        <v>7</v>
      </c>
      <c r="E56" s="15">
        <v>0</v>
      </c>
      <c r="F56" s="15">
        <f>615-575</f>
        <v>40</v>
      </c>
      <c r="H56" s="73"/>
      <c r="L56" s="50"/>
    </row>
    <row r="57" spans="1:20">
      <c r="A57" s="3" t="s">
        <v>172</v>
      </c>
      <c r="D57" s="7">
        <v>7</v>
      </c>
      <c r="E57" s="15">
        <f>6326-637</f>
        <v>5689</v>
      </c>
      <c r="F57" s="15">
        <f>5365-352</f>
        <v>5013</v>
      </c>
      <c r="H57" s="73"/>
      <c r="L57" s="50"/>
    </row>
    <row r="58" spans="1:20" ht="13.5" customHeight="1">
      <c r="A58" s="3" t="s">
        <v>24</v>
      </c>
      <c r="D58" s="7">
        <v>7</v>
      </c>
      <c r="E58" s="15">
        <f>7811-4768</f>
        <v>3043</v>
      </c>
      <c r="F58" s="15">
        <f>5853-4039</f>
        <v>1814</v>
      </c>
      <c r="H58" s="73"/>
      <c r="L58" s="50"/>
    </row>
    <row r="59" spans="1:20" ht="13.5" customHeight="1">
      <c r="A59" s="3" t="s">
        <v>128</v>
      </c>
      <c r="D59" s="7">
        <v>7</v>
      </c>
      <c r="E59" s="43">
        <f>853-834</f>
        <v>19</v>
      </c>
      <c r="F59" s="43">
        <f>853-794</f>
        <v>59</v>
      </c>
      <c r="H59" s="73"/>
      <c r="L59" s="50"/>
    </row>
    <row r="60" spans="1:20" ht="13.5" customHeight="1">
      <c r="A60" s="3" t="s">
        <v>25</v>
      </c>
      <c r="D60" s="7"/>
      <c r="E60" s="6">
        <f>SUM(E50:E59)-1</f>
        <v>50917</v>
      </c>
      <c r="F60" s="6">
        <f>SUM(F50:F59)</f>
        <v>46376</v>
      </c>
      <c r="H60" s="73"/>
      <c r="L60" s="50"/>
    </row>
    <row r="61" spans="1:20" ht="13.5" customHeight="1">
      <c r="D61" s="7"/>
      <c r="E61" s="6"/>
      <c r="F61" s="6"/>
      <c r="H61" s="73"/>
      <c r="L61" s="50"/>
    </row>
    <row r="62" spans="1:20" ht="13.5" customHeight="1">
      <c r="A62" s="3" t="s">
        <v>26</v>
      </c>
      <c r="D62" s="7"/>
      <c r="E62" s="6"/>
      <c r="F62" s="6"/>
      <c r="H62" s="73"/>
      <c r="L62" s="50"/>
    </row>
    <row r="63" spans="1:20" ht="13.5" customHeight="1">
      <c r="A63" s="3" t="s">
        <v>27</v>
      </c>
      <c r="D63" s="7">
        <v>9</v>
      </c>
      <c r="E63" s="6">
        <v>3300</v>
      </c>
      <c r="F63" s="6">
        <v>3300</v>
      </c>
      <c r="H63" s="73"/>
      <c r="L63" s="50"/>
    </row>
    <row r="64" spans="1:20" ht="13.5" customHeight="1">
      <c r="D64" s="7"/>
      <c r="E64" s="6"/>
      <c r="F64" s="6"/>
      <c r="H64" s="73"/>
      <c r="L64" s="50"/>
    </row>
    <row r="65" spans="1:12" ht="13.5" customHeight="1">
      <c r="A65" s="3" t="s">
        <v>173</v>
      </c>
      <c r="D65" s="7">
        <v>6</v>
      </c>
      <c r="E65" s="6">
        <v>0</v>
      </c>
      <c r="F65" s="6">
        <v>0</v>
      </c>
      <c r="H65" s="73"/>
      <c r="L65" s="50"/>
    </row>
    <row r="66" spans="1:12" ht="13.5" customHeight="1">
      <c r="D66" s="7"/>
      <c r="E66" s="6"/>
      <c r="F66" s="6"/>
      <c r="H66" s="73"/>
      <c r="L66" s="50"/>
    </row>
    <row r="67" spans="1:12">
      <c r="A67" s="9" t="s">
        <v>28</v>
      </c>
      <c r="B67" s="9"/>
      <c r="C67" s="9"/>
      <c r="D67" s="32"/>
      <c r="E67" s="42">
        <f>+E60+E63+E65</f>
        <v>54217</v>
      </c>
      <c r="F67" s="42">
        <f>+F60+F63+F65</f>
        <v>49676</v>
      </c>
      <c r="H67" s="2"/>
      <c r="L67" s="50"/>
    </row>
    <row r="68" spans="1:12">
      <c r="A68" s="1"/>
      <c r="B68" s="1"/>
      <c r="C68" s="1"/>
      <c r="D68" s="5"/>
      <c r="E68" s="2"/>
      <c r="F68" s="2"/>
      <c r="H68" s="2"/>
      <c r="L68" s="50"/>
    </row>
    <row r="69" spans="1:12">
      <c r="A69" s="1" t="s">
        <v>29</v>
      </c>
      <c r="B69" s="1"/>
      <c r="C69" s="1"/>
      <c r="D69" s="5"/>
      <c r="E69" s="2"/>
      <c r="F69" s="2"/>
      <c r="H69" s="2"/>
      <c r="L69" s="50"/>
    </row>
    <row r="70" spans="1:12">
      <c r="A70" s="1"/>
      <c r="B70" s="1"/>
      <c r="C70" s="1"/>
      <c r="D70" s="5"/>
      <c r="E70" s="2"/>
      <c r="F70" s="2"/>
      <c r="H70" s="2"/>
    </row>
    <row r="71" spans="1:12">
      <c r="A71" s="3" t="s">
        <v>30</v>
      </c>
      <c r="D71" s="7">
        <v>1</v>
      </c>
      <c r="E71" s="15">
        <v>168</v>
      </c>
      <c r="F71" s="15">
        <v>122</v>
      </c>
      <c r="H71" s="73"/>
    </row>
    <row r="72" spans="1:12">
      <c r="D72" s="7"/>
      <c r="E72" s="73"/>
      <c r="H72" s="73"/>
    </row>
    <row r="73" spans="1:12">
      <c r="A73" s="3" t="s">
        <v>31</v>
      </c>
      <c r="D73" s="7"/>
      <c r="E73" s="73"/>
      <c r="H73" s="73"/>
    </row>
    <row r="74" spans="1:12">
      <c r="A74" s="3" t="s">
        <v>32</v>
      </c>
      <c r="D74" s="7">
        <v>1</v>
      </c>
      <c r="E74" s="6">
        <v>268</v>
      </c>
      <c r="F74" s="6">
        <v>491</v>
      </c>
      <c r="H74" s="73"/>
    </row>
    <row r="75" spans="1:12">
      <c r="A75" s="3" t="s">
        <v>33</v>
      </c>
      <c r="D75" s="7">
        <v>1</v>
      </c>
      <c r="E75" s="6">
        <v>9</v>
      </c>
      <c r="F75" s="6">
        <v>2940</v>
      </c>
      <c r="G75" s="28"/>
      <c r="H75" s="73"/>
    </row>
    <row r="76" spans="1:12">
      <c r="A76" s="3" t="s">
        <v>34</v>
      </c>
      <c r="E76" s="43">
        <f>569-14</f>
        <v>555</v>
      </c>
      <c r="F76" s="43">
        <v>357</v>
      </c>
      <c r="H76" s="73"/>
    </row>
    <row r="77" spans="1:12">
      <c r="A77" s="3" t="s">
        <v>35</v>
      </c>
      <c r="E77" s="15">
        <f>SUM(E74:E76)</f>
        <v>832</v>
      </c>
      <c r="F77" s="15">
        <f>SUM(F74:F76)+1</f>
        <v>3789</v>
      </c>
      <c r="H77" s="73"/>
    </row>
    <row r="78" spans="1:12">
      <c r="E78" s="6"/>
      <c r="F78" s="6"/>
      <c r="H78" s="73"/>
    </row>
    <row r="79" spans="1:12">
      <c r="A79" s="78"/>
      <c r="B79" s="78"/>
      <c r="E79" s="6"/>
      <c r="F79" s="6"/>
      <c r="H79" s="73"/>
    </row>
    <row r="80" spans="1:12">
      <c r="A80" s="3" t="s">
        <v>36</v>
      </c>
      <c r="D80" s="7">
        <v>8</v>
      </c>
      <c r="E80" s="15">
        <v>12747</v>
      </c>
      <c r="F80" s="15">
        <v>19810</v>
      </c>
      <c r="H80" s="73"/>
    </row>
    <row r="81" spans="1:8">
      <c r="D81" s="7"/>
      <c r="F81" s="3"/>
      <c r="H81" s="73"/>
    </row>
    <row r="82" spans="1:8">
      <c r="A82" s="9" t="s">
        <v>37</v>
      </c>
      <c r="B82" s="9"/>
      <c r="C82" s="9"/>
      <c r="D82" s="32"/>
      <c r="E82" s="42">
        <f>+E80+E77+E71</f>
        <v>13747</v>
      </c>
      <c r="F82" s="42">
        <f>+F80+F77+F71</f>
        <v>23721</v>
      </c>
      <c r="H82" s="2"/>
    </row>
    <row r="83" spans="1:8">
      <c r="D83" s="7"/>
      <c r="F83" s="3"/>
      <c r="H83" s="73"/>
    </row>
    <row r="84" spans="1:8">
      <c r="D84" s="7"/>
      <c r="F84" s="3"/>
      <c r="H84" s="73"/>
    </row>
    <row r="85" spans="1:8">
      <c r="A85" s="10" t="s">
        <v>38</v>
      </c>
      <c r="B85" s="10"/>
      <c r="C85" s="10"/>
      <c r="D85" s="33"/>
      <c r="E85" s="42">
        <f>+E82+E67</f>
        <v>67964</v>
      </c>
      <c r="F85" s="42">
        <f>+F82+F67</f>
        <v>73397</v>
      </c>
      <c r="H85" s="2"/>
    </row>
    <row r="86" spans="1:8">
      <c r="C86" s="1"/>
      <c r="D86" s="78"/>
      <c r="E86" s="78"/>
      <c r="F86" s="78"/>
      <c r="H86" s="73"/>
    </row>
    <row r="87" spans="1:8">
      <c r="A87" s="1" t="s">
        <v>39</v>
      </c>
      <c r="B87" s="1"/>
      <c r="C87" s="1"/>
      <c r="D87" s="78"/>
      <c r="E87" s="78"/>
      <c r="F87" s="78"/>
      <c r="H87" s="73"/>
    </row>
    <row r="88" spans="1:8">
      <c r="A88" s="1"/>
      <c r="B88" s="1"/>
      <c r="C88" s="1"/>
      <c r="D88" s="7"/>
      <c r="F88" s="3"/>
      <c r="H88" s="73"/>
    </row>
    <row r="89" spans="1:8">
      <c r="A89" s="1" t="s">
        <v>40</v>
      </c>
      <c r="B89" s="1"/>
      <c r="C89" s="1"/>
      <c r="D89" s="5" t="str">
        <f>D45</f>
        <v>Note</v>
      </c>
      <c r="E89" s="74">
        <f>E45</f>
        <v>2013</v>
      </c>
      <c r="F89" s="74">
        <f>F5</f>
        <v>2012</v>
      </c>
      <c r="H89" s="73"/>
    </row>
    <row r="90" spans="1:8">
      <c r="F90" s="3"/>
      <c r="H90" s="73"/>
    </row>
    <row r="91" spans="1:8">
      <c r="A91" s="3" t="s">
        <v>41</v>
      </c>
      <c r="F91" s="3"/>
      <c r="H91" s="73"/>
    </row>
    <row r="92" spans="1:8">
      <c r="A92" s="3" t="s">
        <v>42</v>
      </c>
      <c r="D92" s="7">
        <v>10.11</v>
      </c>
      <c r="E92" s="15">
        <v>108</v>
      </c>
      <c r="F92" s="15">
        <v>108</v>
      </c>
      <c r="H92" s="73"/>
    </row>
    <row r="93" spans="1:8">
      <c r="A93" s="3" t="s">
        <v>16</v>
      </c>
      <c r="D93" s="7">
        <v>10</v>
      </c>
      <c r="E93" s="43">
        <v>3300</v>
      </c>
      <c r="F93" s="43">
        <v>3300</v>
      </c>
      <c r="H93" s="73"/>
    </row>
    <row r="94" spans="1:8">
      <c r="A94" s="3" t="s">
        <v>43</v>
      </c>
      <c r="D94" s="7"/>
      <c r="E94" s="15">
        <f>SUM(E92:E93)</f>
        <v>3408</v>
      </c>
      <c r="F94" s="15">
        <v>3408</v>
      </c>
      <c r="H94" s="73"/>
    </row>
    <row r="95" spans="1:8">
      <c r="D95" s="7"/>
      <c r="E95" s="6"/>
      <c r="F95" s="6"/>
      <c r="H95" s="73"/>
    </row>
    <row r="96" spans="1:8">
      <c r="A96" s="3" t="s">
        <v>44</v>
      </c>
      <c r="E96" s="6"/>
      <c r="F96" s="6"/>
      <c r="H96" s="73"/>
    </row>
    <row r="97" spans="1:8">
      <c r="A97" s="16" t="s">
        <v>16</v>
      </c>
      <c r="B97" s="16"/>
      <c r="C97" s="14"/>
      <c r="D97" s="7">
        <v>10</v>
      </c>
      <c r="E97" s="43">
        <f>+E340</f>
        <v>34560</v>
      </c>
      <c r="F97" s="43">
        <v>33767</v>
      </c>
      <c r="H97" s="73"/>
    </row>
    <row r="98" spans="1:8">
      <c r="A98" s="16" t="s">
        <v>45</v>
      </c>
      <c r="B98" s="16"/>
      <c r="C98" s="14"/>
      <c r="D98" s="7"/>
      <c r="E98" s="6">
        <f>SUM(E97:E97)</f>
        <v>34560</v>
      </c>
      <c r="F98" s="6">
        <f>+F97</f>
        <v>33767</v>
      </c>
      <c r="H98" s="73"/>
    </row>
    <row r="99" spans="1:8">
      <c r="E99" s="6"/>
      <c r="F99" s="6"/>
      <c r="H99" s="73"/>
    </row>
    <row r="100" spans="1:8">
      <c r="A100" s="9" t="s">
        <v>46</v>
      </c>
      <c r="B100" s="9"/>
      <c r="C100" s="9"/>
      <c r="D100" s="9"/>
      <c r="E100" s="42">
        <f>+E98+E94</f>
        <v>37968</v>
      </c>
      <c r="F100" s="42">
        <f>+F98+F94</f>
        <v>37175</v>
      </c>
      <c r="H100" s="2"/>
    </row>
    <row r="101" spans="1:8">
      <c r="A101" s="1"/>
      <c r="B101" s="1"/>
      <c r="C101" s="1"/>
      <c r="E101" s="6"/>
      <c r="F101" s="6"/>
      <c r="H101" s="2"/>
    </row>
    <row r="102" spans="1:8">
      <c r="A102" s="1" t="s">
        <v>47</v>
      </c>
      <c r="B102" s="1"/>
      <c r="C102" s="1"/>
      <c r="E102" s="6"/>
      <c r="F102" s="6"/>
      <c r="H102" s="2"/>
    </row>
    <row r="103" spans="1:8">
      <c r="A103" s="1"/>
      <c r="B103" s="1"/>
      <c r="C103" s="1"/>
      <c r="E103" s="6"/>
      <c r="F103" s="6"/>
      <c r="H103" s="2"/>
    </row>
    <row r="104" spans="1:8">
      <c r="A104" s="3" t="s">
        <v>48</v>
      </c>
      <c r="C104" s="1"/>
      <c r="E104" s="6"/>
      <c r="F104" s="6"/>
      <c r="H104" s="2"/>
    </row>
    <row r="105" spans="1:8">
      <c r="A105" s="3" t="s">
        <v>49</v>
      </c>
      <c r="D105" s="7">
        <v>6</v>
      </c>
      <c r="E105" s="6">
        <v>0</v>
      </c>
      <c r="F105" s="6">
        <v>0</v>
      </c>
      <c r="H105" s="2"/>
    </row>
    <row r="106" spans="1:8">
      <c r="A106" s="16" t="s">
        <v>192</v>
      </c>
      <c r="B106" s="16"/>
      <c r="C106" s="14"/>
      <c r="D106" s="7">
        <v>12</v>
      </c>
      <c r="E106" s="43">
        <v>3182</v>
      </c>
      <c r="F106" s="43">
        <v>3752</v>
      </c>
      <c r="H106" s="73"/>
    </row>
    <row r="107" spans="1:8">
      <c r="A107" s="3" t="s">
        <v>50</v>
      </c>
      <c r="D107" s="7"/>
      <c r="E107" s="6">
        <f>SUM(E105:E106)</f>
        <v>3182</v>
      </c>
      <c r="F107" s="6">
        <f>SUM(F105:F106)</f>
        <v>3752</v>
      </c>
      <c r="H107" s="2"/>
    </row>
    <row r="108" spans="1:8">
      <c r="D108" s="7"/>
      <c r="E108" s="6"/>
      <c r="F108" s="6"/>
      <c r="H108" s="2"/>
    </row>
    <row r="109" spans="1:8">
      <c r="A109" s="3" t="s">
        <v>231</v>
      </c>
      <c r="D109" s="7"/>
      <c r="E109" s="6"/>
      <c r="F109" s="6"/>
      <c r="H109" s="2"/>
    </row>
    <row r="110" spans="1:8">
      <c r="A110" s="3" t="s">
        <v>245</v>
      </c>
      <c r="D110" s="7">
        <v>13</v>
      </c>
      <c r="E110" s="43">
        <v>9818</v>
      </c>
      <c r="F110" s="43">
        <v>10322</v>
      </c>
      <c r="H110" s="2"/>
    </row>
    <row r="111" spans="1:8">
      <c r="A111" s="3" t="s">
        <v>232</v>
      </c>
      <c r="D111" s="7"/>
      <c r="E111" s="6">
        <f>+E110</f>
        <v>9818</v>
      </c>
      <c r="F111" s="6">
        <f>+F110</f>
        <v>10322</v>
      </c>
      <c r="H111" s="2"/>
    </row>
    <row r="112" spans="1:8">
      <c r="F112" s="3"/>
      <c r="H112" s="2"/>
    </row>
    <row r="113" spans="1:8">
      <c r="A113" s="9" t="s">
        <v>51</v>
      </c>
      <c r="B113" s="9"/>
      <c r="C113" s="9"/>
      <c r="D113" s="9"/>
      <c r="E113" s="42">
        <f>+E107+E111</f>
        <v>13000</v>
      </c>
      <c r="F113" s="42">
        <f>+F107+F111</f>
        <v>14074</v>
      </c>
      <c r="H113" s="2"/>
    </row>
    <row r="114" spans="1:8">
      <c r="A114" s="1"/>
      <c r="B114" s="1"/>
      <c r="C114" s="1"/>
      <c r="D114" s="7"/>
      <c r="F114" s="3"/>
      <c r="H114" s="73"/>
    </row>
    <row r="115" spans="1:8">
      <c r="A115" s="1" t="s">
        <v>52</v>
      </c>
      <c r="B115" s="1"/>
      <c r="C115" s="1"/>
      <c r="D115" s="7"/>
      <c r="F115" s="3"/>
      <c r="H115" s="73"/>
    </row>
    <row r="116" spans="1:8">
      <c r="D116" s="7"/>
      <c r="F116" s="3"/>
      <c r="H116" s="73"/>
    </row>
    <row r="117" spans="1:8">
      <c r="A117" s="3" t="s">
        <v>53</v>
      </c>
      <c r="D117" s="7">
        <v>1</v>
      </c>
      <c r="E117" s="6">
        <v>2625</v>
      </c>
      <c r="F117" s="6">
        <v>3267</v>
      </c>
      <c r="H117" s="73"/>
    </row>
    <row r="118" spans="1:8">
      <c r="A118" s="3" t="s">
        <v>54</v>
      </c>
      <c r="D118" s="7">
        <v>1</v>
      </c>
      <c r="E118" s="6">
        <f>2231+1993+788+215+23</f>
        <v>5250</v>
      </c>
      <c r="F118" s="6">
        <f>2411+2016+757+167</f>
        <v>5351</v>
      </c>
      <c r="H118" s="73"/>
    </row>
    <row r="119" spans="1:8">
      <c r="A119" s="3" t="s">
        <v>55</v>
      </c>
      <c r="D119" s="7" t="s">
        <v>239</v>
      </c>
      <c r="E119" s="6">
        <f>+E379</f>
        <v>9121</v>
      </c>
      <c r="F119" s="6">
        <v>13529</v>
      </c>
      <c r="H119" s="73"/>
    </row>
    <row r="120" spans="1:8">
      <c r="D120" s="7"/>
      <c r="F120" s="3"/>
      <c r="H120" s="73"/>
    </row>
    <row r="121" spans="1:8">
      <c r="A121" s="9" t="s">
        <v>56</v>
      </c>
      <c r="B121" s="9"/>
      <c r="C121" s="9"/>
      <c r="D121" s="9"/>
      <c r="E121" s="42">
        <f>SUM(E116:E120)+1</f>
        <v>16997</v>
      </c>
      <c r="F121" s="42">
        <f>SUM(F117:F120)+1</f>
        <v>22148</v>
      </c>
      <c r="H121" s="2"/>
    </row>
    <row r="122" spans="1:8">
      <c r="F122" s="3"/>
      <c r="H122" s="73"/>
    </row>
    <row r="123" spans="1:8">
      <c r="A123" s="10" t="s">
        <v>57</v>
      </c>
      <c r="B123" s="10"/>
      <c r="C123" s="10"/>
      <c r="D123" s="10"/>
      <c r="E123" s="42">
        <f>E121+E100+E113-1</f>
        <v>67964</v>
      </c>
      <c r="F123" s="42">
        <f>+F121+F113+F100+1</f>
        <v>73398</v>
      </c>
      <c r="H123" s="2"/>
    </row>
    <row r="124" spans="1:8">
      <c r="F124" s="3"/>
      <c r="H124" s="73"/>
    </row>
    <row r="125" spans="1:8">
      <c r="A125" s="1"/>
      <c r="B125" s="1"/>
      <c r="C125" s="1"/>
      <c r="D125" s="1"/>
      <c r="E125" s="2"/>
      <c r="F125" s="2"/>
      <c r="G125" s="11"/>
      <c r="H125" s="2"/>
    </row>
    <row r="126" spans="1:8">
      <c r="A126" s="1" t="s">
        <v>217</v>
      </c>
      <c r="B126" s="1"/>
      <c r="C126" s="1"/>
      <c r="D126" s="1"/>
      <c r="E126" s="2"/>
      <c r="F126" s="2"/>
      <c r="G126" s="11"/>
      <c r="H126" s="2"/>
    </row>
    <row r="127" spans="1:8">
      <c r="A127" s="1" t="s">
        <v>216</v>
      </c>
      <c r="B127" s="1"/>
      <c r="C127" s="1"/>
      <c r="D127" s="1"/>
      <c r="E127" s="2"/>
      <c r="F127" s="2"/>
      <c r="G127" s="11"/>
      <c r="H127" s="2"/>
    </row>
    <row r="128" spans="1:8">
      <c r="A128" s="1"/>
      <c r="B128" s="1"/>
      <c r="C128" s="1"/>
      <c r="D128" s="1"/>
      <c r="E128" s="2"/>
      <c r="F128" s="2"/>
      <c r="G128" s="11"/>
      <c r="H128" s="2"/>
    </row>
    <row r="129" spans="1:8">
      <c r="A129" s="1" t="s">
        <v>58</v>
      </c>
      <c r="B129" s="1"/>
      <c r="C129" s="1"/>
      <c r="D129" s="1"/>
      <c r="E129" s="2"/>
      <c r="F129" s="2"/>
      <c r="G129" s="11"/>
      <c r="H129" s="2"/>
    </row>
    <row r="130" spans="1:8">
      <c r="A130" s="78"/>
      <c r="B130" s="78"/>
      <c r="C130" s="1"/>
      <c r="D130" s="1"/>
      <c r="E130" s="1"/>
      <c r="F130" s="1"/>
      <c r="H130" s="12"/>
    </row>
    <row r="131" spans="1:8">
      <c r="A131" s="3" t="s">
        <v>59</v>
      </c>
      <c r="C131" s="1"/>
      <c r="F131" s="3"/>
      <c r="H131" s="73"/>
    </row>
    <row r="132" spans="1:8">
      <c r="F132" s="3"/>
      <c r="H132" s="73"/>
    </row>
    <row r="133" spans="1:8">
      <c r="A133" s="1" t="s">
        <v>60</v>
      </c>
      <c r="B133" s="1"/>
      <c r="E133" s="6"/>
      <c r="F133" s="6"/>
      <c r="H133" s="73"/>
    </row>
    <row r="134" spans="1:8">
      <c r="A134" s="3" t="s">
        <v>138</v>
      </c>
      <c r="E134" s="6"/>
      <c r="F134" s="6"/>
      <c r="H134" s="73"/>
    </row>
    <row r="135" spans="1:8">
      <c r="A135" s="28" t="s">
        <v>168</v>
      </c>
      <c r="B135" s="28"/>
      <c r="E135" s="6"/>
      <c r="F135" s="6"/>
      <c r="H135" s="73"/>
    </row>
    <row r="136" spans="1:8">
      <c r="A136" s="14"/>
      <c r="B136" s="14"/>
      <c r="C136" s="14"/>
      <c r="E136" s="6"/>
      <c r="F136" s="6"/>
      <c r="H136" s="73"/>
    </row>
    <row r="137" spans="1:8">
      <c r="A137" s="3" t="s">
        <v>275</v>
      </c>
      <c r="E137" s="6"/>
      <c r="F137" s="6"/>
      <c r="H137" s="73"/>
    </row>
    <row r="138" spans="1:8">
      <c r="A138" s="3" t="s">
        <v>276</v>
      </c>
      <c r="E138" s="15"/>
      <c r="F138" s="15"/>
      <c r="H138" s="73"/>
    </row>
    <row r="139" spans="1:8">
      <c r="E139" s="15"/>
      <c r="F139" s="15"/>
      <c r="H139" s="73"/>
    </row>
    <row r="140" spans="1:8">
      <c r="A140" s="3" t="s">
        <v>61</v>
      </c>
      <c r="E140" s="73"/>
      <c r="H140" s="73"/>
    </row>
    <row r="141" spans="1:8">
      <c r="A141" s="3" t="s">
        <v>62</v>
      </c>
      <c r="E141" s="73"/>
      <c r="H141" s="73"/>
    </row>
    <row r="142" spans="1:8">
      <c r="E142" s="73"/>
      <c r="H142" s="73"/>
    </row>
    <row r="143" spans="1:8">
      <c r="A143" s="1" t="s">
        <v>63</v>
      </c>
      <c r="B143" s="1"/>
      <c r="E143" s="73"/>
      <c r="H143" s="73"/>
    </row>
    <row r="144" spans="1:8">
      <c r="A144" s="3" t="s">
        <v>64</v>
      </c>
      <c r="E144" s="73"/>
      <c r="H144" s="73"/>
    </row>
    <row r="145" spans="1:8">
      <c r="A145" s="3" t="s">
        <v>65</v>
      </c>
      <c r="E145" s="73"/>
      <c r="H145" s="73"/>
    </row>
    <row r="146" spans="1:8">
      <c r="E146" s="73"/>
      <c r="H146" s="73"/>
    </row>
    <row r="147" spans="1:8">
      <c r="A147" s="1" t="s">
        <v>66</v>
      </c>
      <c r="B147" s="1"/>
      <c r="E147" s="73"/>
      <c r="H147" s="73"/>
    </row>
    <row r="148" spans="1:8">
      <c r="A148" s="3" t="s">
        <v>246</v>
      </c>
      <c r="E148" s="73"/>
      <c r="H148" s="73"/>
    </row>
    <row r="149" spans="1:8">
      <c r="A149" s="3" t="s">
        <v>160</v>
      </c>
      <c r="E149" s="73"/>
      <c r="H149" s="73"/>
    </row>
    <row r="150" spans="1:8">
      <c r="E150" s="73"/>
      <c r="H150" s="73"/>
    </row>
    <row r="151" spans="1:8">
      <c r="E151" s="73"/>
      <c r="H151" s="73"/>
    </row>
    <row r="152" spans="1:8">
      <c r="A152" s="1" t="s">
        <v>67</v>
      </c>
      <c r="B152" s="1"/>
      <c r="E152" s="73"/>
      <c r="H152" s="73"/>
    </row>
    <row r="153" spans="1:8">
      <c r="A153" s="1"/>
      <c r="B153" s="1"/>
      <c r="E153" s="73"/>
      <c r="H153" s="73"/>
    </row>
    <row r="154" spans="1:8">
      <c r="A154" s="1" t="s">
        <v>2</v>
      </c>
      <c r="B154" s="1"/>
      <c r="C154" s="1"/>
      <c r="E154" s="1">
        <v>2013</v>
      </c>
      <c r="F154" s="1">
        <v>2012</v>
      </c>
      <c r="H154" s="73"/>
    </row>
    <row r="155" spans="1:8">
      <c r="F155" s="3"/>
      <c r="H155" s="73"/>
    </row>
    <row r="156" spans="1:8">
      <c r="A156" s="3" t="s">
        <v>68</v>
      </c>
      <c r="E156" s="6">
        <f>10754-38</f>
        <v>10716</v>
      </c>
      <c r="F156" s="6">
        <f>17291-1391</f>
        <v>15900</v>
      </c>
      <c r="G156" s="6"/>
      <c r="H156" s="73"/>
    </row>
    <row r="157" spans="1:8">
      <c r="A157" s="3" t="s">
        <v>69</v>
      </c>
      <c r="E157" s="6">
        <v>113</v>
      </c>
      <c r="F157" s="6">
        <v>30</v>
      </c>
      <c r="H157" s="73"/>
    </row>
    <row r="158" spans="1:8">
      <c r="A158" s="3" t="s">
        <v>70</v>
      </c>
      <c r="E158" s="6">
        <v>38</v>
      </c>
      <c r="F158" s="6">
        <v>1391</v>
      </c>
      <c r="H158" s="73"/>
    </row>
    <row r="159" spans="1:8">
      <c r="A159" s="14" t="s">
        <v>71</v>
      </c>
      <c r="B159" s="14"/>
      <c r="C159" s="14"/>
      <c r="E159" s="6">
        <f>165+134+764+236+120+352+21+10</f>
        <v>1802</v>
      </c>
      <c r="F159" s="6">
        <f>362+266+861+246+130+335+6+19</f>
        <v>2225</v>
      </c>
      <c r="H159" s="73"/>
    </row>
    <row r="160" spans="1:8">
      <c r="A160" s="3" t="s">
        <v>72</v>
      </c>
      <c r="E160" s="43">
        <f>9141-1802-1508</f>
        <v>5831</v>
      </c>
      <c r="F160" s="43">
        <f>1056+2305+31+345+266+18+1281-591+2</f>
        <v>4713</v>
      </c>
      <c r="H160" s="73"/>
    </row>
    <row r="161" spans="1:18" ht="19.5" customHeight="1">
      <c r="E161" s="43">
        <f>SUM(E156:E160)</f>
        <v>18500</v>
      </c>
      <c r="F161" s="43">
        <f>SUM(F156:F160)</f>
        <v>24259</v>
      </c>
      <c r="H161" s="73"/>
    </row>
    <row r="162" spans="1:18" ht="12.75" customHeight="1">
      <c r="E162" s="15"/>
      <c r="F162" s="15"/>
      <c r="H162" s="73"/>
    </row>
    <row r="163" spans="1:18" ht="12.75" customHeight="1">
      <c r="A163" s="3" t="s">
        <v>247</v>
      </c>
      <c r="E163" s="15"/>
      <c r="F163" s="15"/>
      <c r="H163" s="73"/>
    </row>
    <row r="164" spans="1:18" ht="12.75" customHeight="1">
      <c r="A164" s="3" t="s">
        <v>250</v>
      </c>
      <c r="E164" s="15"/>
      <c r="F164" s="15"/>
      <c r="H164" s="73"/>
    </row>
    <row r="165" spans="1:18" ht="12.75" customHeight="1">
      <c r="A165" s="3" t="s">
        <v>262</v>
      </c>
      <c r="E165" s="15"/>
      <c r="F165" s="15"/>
      <c r="H165" s="73"/>
    </row>
    <row r="166" spans="1:18" ht="12.75" customHeight="1">
      <c r="A166" s="3" t="s">
        <v>195</v>
      </c>
      <c r="E166" s="15"/>
      <c r="F166" s="15"/>
      <c r="H166" s="73"/>
    </row>
    <row r="167" spans="1:18" ht="12.75" customHeight="1">
      <c r="A167" s="3" t="s">
        <v>158</v>
      </c>
      <c r="E167" s="15"/>
      <c r="F167" s="15"/>
      <c r="H167" s="73"/>
    </row>
    <row r="168" spans="1:18" ht="12.75" customHeight="1">
      <c r="E168" s="15"/>
      <c r="F168" s="15"/>
      <c r="H168" s="73"/>
    </row>
    <row r="169" spans="1:18" ht="12.75" customHeight="1">
      <c r="A169" s="3" t="s">
        <v>188</v>
      </c>
      <c r="E169" s="15"/>
      <c r="F169" s="15"/>
      <c r="H169" s="73"/>
    </row>
    <row r="170" spans="1:18" ht="12.75" customHeight="1">
      <c r="E170" s="15"/>
      <c r="F170" s="15"/>
      <c r="H170" s="73"/>
    </row>
    <row r="171" spans="1:18" ht="12.75" customHeight="1">
      <c r="E171" s="15"/>
      <c r="F171" s="15"/>
      <c r="H171" s="73"/>
    </row>
    <row r="172" spans="1:18">
      <c r="A172" s="1" t="s">
        <v>73</v>
      </c>
      <c r="B172" s="1"/>
      <c r="F172" s="3"/>
      <c r="G172" s="98"/>
      <c r="H172" s="3"/>
    </row>
    <row r="173" spans="1:18">
      <c r="A173" s="1"/>
      <c r="B173" s="1"/>
      <c r="D173" s="6"/>
      <c r="E173" s="6"/>
      <c r="F173" s="3"/>
      <c r="G173" s="98"/>
      <c r="H173" s="3"/>
    </row>
    <row r="174" spans="1:18">
      <c r="A174" s="1" t="s">
        <v>74</v>
      </c>
      <c r="B174" s="1"/>
      <c r="D174" s="44">
        <v>2013</v>
      </c>
      <c r="E174" s="44">
        <v>2012</v>
      </c>
      <c r="F174" s="3"/>
      <c r="G174" s="98"/>
      <c r="H174" s="3"/>
      <c r="M174" s="1"/>
      <c r="R174" s="98"/>
    </row>
    <row r="175" spans="1:18">
      <c r="A175" s="1"/>
      <c r="B175" s="1"/>
      <c r="D175" s="44"/>
      <c r="E175" s="44"/>
      <c r="F175" s="3"/>
      <c r="G175" s="98"/>
      <c r="H175" s="3"/>
      <c r="M175" s="1"/>
      <c r="O175" s="6"/>
      <c r="P175" s="6"/>
      <c r="R175" s="98"/>
    </row>
    <row r="176" spans="1:18">
      <c r="A176" s="3" t="s">
        <v>75</v>
      </c>
      <c r="D176" s="6">
        <v>52670</v>
      </c>
      <c r="E176" s="6">
        <v>49845</v>
      </c>
      <c r="F176" s="3"/>
      <c r="G176" s="98"/>
      <c r="H176" s="3"/>
      <c r="M176" s="1"/>
      <c r="O176" s="44"/>
      <c r="P176" s="44"/>
      <c r="R176" s="98"/>
    </row>
    <row r="177" spans="1:18">
      <c r="A177" s="3" t="s">
        <v>212</v>
      </c>
      <c r="D177" s="6">
        <v>7676</v>
      </c>
      <c r="E177" s="6">
        <v>7138</v>
      </c>
      <c r="F177" s="3"/>
      <c r="G177" s="98"/>
      <c r="H177" s="3"/>
      <c r="M177" s="1"/>
      <c r="O177" s="44"/>
      <c r="P177" s="44"/>
      <c r="R177" s="98"/>
    </row>
    <row r="178" spans="1:18">
      <c r="A178" s="3" t="s">
        <v>213</v>
      </c>
      <c r="D178" s="15">
        <v>15965</v>
      </c>
      <c r="E178" s="15">
        <v>15495</v>
      </c>
      <c r="F178" s="3"/>
      <c r="G178" s="98"/>
      <c r="H178" s="3"/>
      <c r="L178" s="3"/>
      <c r="O178" s="6"/>
      <c r="P178" s="6"/>
      <c r="R178" s="98"/>
    </row>
    <row r="179" spans="1:18">
      <c r="A179" s="3" t="s">
        <v>211</v>
      </c>
      <c r="D179" s="43">
        <v>1209</v>
      </c>
      <c r="E179" s="43">
        <v>1722</v>
      </c>
      <c r="F179" s="3"/>
      <c r="G179" s="98"/>
      <c r="H179" s="3"/>
      <c r="L179" s="3"/>
      <c r="O179" s="6"/>
      <c r="P179" s="6"/>
      <c r="R179" s="98"/>
    </row>
    <row r="180" spans="1:18" ht="19.5" customHeight="1">
      <c r="D180" s="43">
        <f>SUM(D176:D179)</f>
        <v>77520</v>
      </c>
      <c r="E180" s="43">
        <f>SUM(E176:E179)</f>
        <v>74200</v>
      </c>
      <c r="F180" s="3"/>
      <c r="G180" s="98"/>
      <c r="H180" s="3"/>
      <c r="L180" s="3"/>
      <c r="O180" s="6"/>
      <c r="P180" s="6"/>
      <c r="R180" s="98"/>
    </row>
    <row r="181" spans="1:18" ht="12.75" customHeight="1">
      <c r="D181" s="15"/>
      <c r="E181" s="15"/>
      <c r="F181" s="3"/>
      <c r="G181" s="98"/>
      <c r="H181" s="3"/>
      <c r="L181" s="3"/>
      <c r="O181" s="6"/>
      <c r="P181" s="6"/>
      <c r="R181" s="98"/>
    </row>
    <row r="182" spans="1:18" ht="12.75" customHeight="1">
      <c r="A182" s="3" t="s">
        <v>159</v>
      </c>
      <c r="D182" s="15"/>
      <c r="E182" s="15"/>
      <c r="F182" s="3"/>
      <c r="G182" s="98"/>
      <c r="H182" s="3"/>
      <c r="L182" s="3"/>
      <c r="O182" s="6"/>
      <c r="P182" s="6"/>
      <c r="R182" s="98"/>
    </row>
    <row r="183" spans="1:18" ht="12.75" customHeight="1">
      <c r="A183" s="3" t="s">
        <v>265</v>
      </c>
      <c r="D183" s="15"/>
      <c r="E183" s="15"/>
      <c r="F183" s="3"/>
      <c r="G183" s="98"/>
      <c r="H183" s="3"/>
      <c r="L183" s="3"/>
      <c r="O183" s="6"/>
      <c r="P183" s="6"/>
      <c r="R183" s="98"/>
    </row>
    <row r="184" spans="1:18" ht="12.75" customHeight="1">
      <c r="A184" s="3" t="s">
        <v>266</v>
      </c>
      <c r="D184" s="15"/>
      <c r="E184" s="15"/>
      <c r="F184" s="3"/>
      <c r="G184" s="98"/>
      <c r="H184" s="3"/>
      <c r="L184" s="3"/>
      <c r="O184" s="6"/>
      <c r="P184" s="6"/>
      <c r="R184" s="98"/>
    </row>
    <row r="185" spans="1:18" ht="12.75" customHeight="1">
      <c r="E185" s="15"/>
      <c r="F185" s="15"/>
      <c r="H185" s="73"/>
      <c r="L185" s="3"/>
      <c r="O185" s="6"/>
      <c r="P185" s="6"/>
      <c r="R185" s="98"/>
    </row>
    <row r="186" spans="1:18" ht="12.75" customHeight="1">
      <c r="E186" s="15"/>
      <c r="F186" s="15"/>
      <c r="H186" s="73"/>
    </row>
    <row r="187" spans="1:18" s="97" customFormat="1">
      <c r="A187" s="95" t="s">
        <v>76</v>
      </c>
      <c r="B187" s="95"/>
      <c r="C187" s="96"/>
      <c r="E187" s="93"/>
      <c r="F187" s="93"/>
      <c r="H187" s="93"/>
      <c r="L187" s="95"/>
    </row>
    <row r="188" spans="1:18">
      <c r="A188" s="14"/>
      <c r="B188" s="14"/>
      <c r="C188" s="14"/>
      <c r="E188" s="73"/>
      <c r="H188" s="73"/>
    </row>
    <row r="189" spans="1:18">
      <c r="A189" s="1" t="s">
        <v>77</v>
      </c>
      <c r="B189" s="1"/>
      <c r="E189" s="12">
        <v>2013</v>
      </c>
      <c r="F189" s="12">
        <v>2012</v>
      </c>
      <c r="H189" s="73"/>
    </row>
    <row r="190" spans="1:18">
      <c r="E190" s="73"/>
      <c r="H190" s="73"/>
    </row>
    <row r="191" spans="1:18">
      <c r="A191" s="3" t="s">
        <v>78</v>
      </c>
      <c r="E191" s="93">
        <f>34320+9267+1541+5590</f>
        <v>50718</v>
      </c>
      <c r="F191" s="90">
        <f>33480+8752+1695+5408+1</f>
        <v>49336</v>
      </c>
      <c r="H191" s="73"/>
    </row>
    <row r="192" spans="1:18">
      <c r="A192" s="3" t="s">
        <v>126</v>
      </c>
      <c r="E192" s="93">
        <v>7826</v>
      </c>
      <c r="F192" s="90">
        <v>7601</v>
      </c>
      <c r="H192" s="73"/>
    </row>
    <row r="193" spans="1:12">
      <c r="A193" s="3" t="s">
        <v>79</v>
      </c>
      <c r="E193" s="93">
        <v>6031</v>
      </c>
      <c r="F193" s="90">
        <v>5518</v>
      </c>
      <c r="H193" s="73"/>
    </row>
    <row r="194" spans="1:12">
      <c r="A194" s="3" t="s">
        <v>80</v>
      </c>
      <c r="E194" s="94">
        <f>4187-2013+966-279+1</f>
        <v>2862</v>
      </c>
      <c r="F194" s="45">
        <f>5234-1937+1057+305</f>
        <v>4659</v>
      </c>
      <c r="H194" s="73"/>
    </row>
    <row r="195" spans="1:12" ht="19.5" customHeight="1">
      <c r="A195" s="3" t="s">
        <v>81</v>
      </c>
      <c r="D195" s="6"/>
      <c r="E195" s="45">
        <f>SUM(E191:E194)</f>
        <v>67437</v>
      </c>
      <c r="F195" s="45">
        <f>SUM(F191:F194)+1</f>
        <v>67115</v>
      </c>
      <c r="H195" s="73"/>
    </row>
    <row r="196" spans="1:12">
      <c r="E196" s="73"/>
      <c r="H196" s="73"/>
    </row>
    <row r="197" spans="1:12">
      <c r="A197" s="3" t="s">
        <v>165</v>
      </c>
      <c r="E197" s="88">
        <v>116.5</v>
      </c>
      <c r="F197" s="89" t="s">
        <v>244</v>
      </c>
      <c r="H197" s="73"/>
    </row>
    <row r="198" spans="1:12" ht="12" customHeight="1">
      <c r="E198" s="2"/>
      <c r="F198" s="74"/>
      <c r="G198" s="78"/>
      <c r="H198" s="73"/>
    </row>
    <row r="199" spans="1:12">
      <c r="A199" s="1" t="s">
        <v>82</v>
      </c>
      <c r="B199" s="1"/>
      <c r="E199" s="2" t="s">
        <v>83</v>
      </c>
      <c r="F199" s="134" t="s">
        <v>143</v>
      </c>
      <c r="G199" s="134"/>
      <c r="H199" s="73"/>
    </row>
    <row r="200" spans="1:12">
      <c r="E200" s="73"/>
      <c r="F200" s="3"/>
      <c r="G200" s="78"/>
      <c r="H200" s="73"/>
    </row>
    <row r="201" spans="1:12">
      <c r="A201" s="3" t="s">
        <v>84</v>
      </c>
      <c r="E201" s="73">
        <v>879</v>
      </c>
      <c r="F201" s="6">
        <v>146</v>
      </c>
      <c r="G201" s="78"/>
      <c r="H201" s="73"/>
    </row>
    <row r="202" spans="1:12">
      <c r="A202" s="3" t="s">
        <v>252</v>
      </c>
      <c r="E202" s="73">
        <v>683</v>
      </c>
      <c r="F202" s="6">
        <v>0</v>
      </c>
      <c r="G202" s="78"/>
      <c r="H202" s="73"/>
    </row>
    <row r="203" spans="1:12">
      <c r="A203" s="3" t="s">
        <v>253</v>
      </c>
      <c r="E203" s="90">
        <v>241</v>
      </c>
      <c r="F203" s="6">
        <v>0</v>
      </c>
      <c r="G203" s="78"/>
      <c r="H203" s="90"/>
    </row>
    <row r="204" spans="1:12">
      <c r="E204" s="73"/>
      <c r="F204" s="6"/>
      <c r="G204" s="78"/>
      <c r="H204" s="73"/>
    </row>
    <row r="205" spans="1:12">
      <c r="A205" s="3" t="s">
        <v>254</v>
      </c>
      <c r="E205" s="73"/>
      <c r="F205" s="3"/>
      <c r="G205" s="78"/>
      <c r="H205" s="73"/>
    </row>
    <row r="206" spans="1:12">
      <c r="A206" s="3" t="s">
        <v>277</v>
      </c>
      <c r="E206" s="73"/>
      <c r="F206" s="3"/>
      <c r="G206" s="78"/>
      <c r="H206" s="73"/>
      <c r="L206" s="40"/>
    </row>
    <row r="207" spans="1:12">
      <c r="A207" s="3" t="s">
        <v>278</v>
      </c>
      <c r="E207" s="73"/>
      <c r="F207" s="3"/>
      <c r="G207" s="78"/>
      <c r="H207" s="73"/>
    </row>
    <row r="208" spans="1:12">
      <c r="E208" s="73"/>
      <c r="F208" s="3"/>
      <c r="G208" s="78"/>
      <c r="H208" s="73"/>
    </row>
    <row r="209" spans="1:12">
      <c r="A209" s="3" t="s">
        <v>251</v>
      </c>
      <c r="E209" s="73"/>
      <c r="F209" s="3"/>
      <c r="G209" s="78"/>
      <c r="H209" s="73"/>
      <c r="L209" s="40"/>
    </row>
    <row r="210" spans="1:12">
      <c r="A210" s="3" t="s">
        <v>279</v>
      </c>
      <c r="E210" s="73"/>
      <c r="H210" s="73"/>
      <c r="L210" s="40"/>
    </row>
    <row r="211" spans="1:12">
      <c r="E211" s="73"/>
      <c r="H211" s="73"/>
    </row>
    <row r="212" spans="1:12">
      <c r="F212" s="3"/>
      <c r="H212" s="74"/>
    </row>
    <row r="213" spans="1:12">
      <c r="A213" s="1" t="s">
        <v>85</v>
      </c>
      <c r="B213" s="1"/>
      <c r="C213" s="1"/>
      <c r="D213" s="1"/>
      <c r="E213" s="49">
        <v>2013</v>
      </c>
      <c r="F213" s="49">
        <v>2012</v>
      </c>
      <c r="H213" s="74"/>
    </row>
    <row r="214" spans="1:12">
      <c r="A214" s="1"/>
      <c r="B214" s="1"/>
      <c r="C214" s="1"/>
      <c r="D214" s="1"/>
      <c r="F214" s="3"/>
      <c r="H214" s="74"/>
    </row>
    <row r="215" spans="1:12">
      <c r="A215" s="3" t="s">
        <v>127</v>
      </c>
      <c r="E215" s="6">
        <v>3015</v>
      </c>
      <c r="F215" s="6">
        <v>2152</v>
      </c>
      <c r="H215" s="73"/>
    </row>
    <row r="216" spans="1:12">
      <c r="A216" s="3" t="s">
        <v>86</v>
      </c>
      <c r="E216" s="6">
        <v>1082</v>
      </c>
      <c r="F216" s="6">
        <v>1330</v>
      </c>
      <c r="H216" s="73"/>
    </row>
    <row r="217" spans="1:12">
      <c r="A217" s="3" t="s">
        <v>87</v>
      </c>
      <c r="E217" s="6">
        <f>3756+1365</f>
        <v>5121</v>
      </c>
      <c r="F217" s="6">
        <f>4257+754+1</f>
        <v>5012</v>
      </c>
    </row>
    <row r="218" spans="1:12">
      <c r="A218" s="3" t="s">
        <v>88</v>
      </c>
      <c r="E218" s="6">
        <v>6040</v>
      </c>
      <c r="F218" s="6">
        <v>7693</v>
      </c>
      <c r="G218" s="6"/>
    </row>
    <row r="219" spans="1:12">
      <c r="A219" s="3" t="s">
        <v>89</v>
      </c>
      <c r="E219" s="6">
        <v>4729</v>
      </c>
      <c r="F219" s="6">
        <v>5441</v>
      </c>
    </row>
    <row r="220" spans="1:12">
      <c r="A220" s="3" t="s">
        <v>90</v>
      </c>
      <c r="E220" s="6">
        <f>263+416+1325</f>
        <v>2004</v>
      </c>
      <c r="F220" s="6">
        <f>237+259+2451</f>
        <v>2947</v>
      </c>
    </row>
    <row r="221" spans="1:12">
      <c r="A221" s="3" t="s">
        <v>91</v>
      </c>
      <c r="E221" s="6">
        <v>4131</v>
      </c>
      <c r="F221" s="6">
        <v>4387</v>
      </c>
    </row>
    <row r="222" spans="1:12">
      <c r="A222" s="3" t="s">
        <v>92</v>
      </c>
      <c r="E222" s="6">
        <v>679</v>
      </c>
      <c r="F222" s="6">
        <v>660</v>
      </c>
    </row>
    <row r="223" spans="1:12">
      <c r="A223" s="3" t="s">
        <v>133</v>
      </c>
      <c r="E223" s="6">
        <v>20</v>
      </c>
      <c r="F223" s="6">
        <v>0</v>
      </c>
    </row>
    <row r="224" spans="1:12">
      <c r="A224" s="3" t="s">
        <v>273</v>
      </c>
      <c r="E224" s="43">
        <v>43</v>
      </c>
      <c r="F224" s="43">
        <v>1947</v>
      </c>
    </row>
    <row r="225" spans="1:12" ht="19.5" customHeight="1">
      <c r="E225" s="43">
        <f>SUM(E215:E224)-1</f>
        <v>26863</v>
      </c>
      <c r="F225" s="43">
        <f>SUM(F215:F224)</f>
        <v>31569</v>
      </c>
    </row>
    <row r="226" spans="1:12">
      <c r="E226" s="15"/>
      <c r="F226" s="15"/>
      <c r="H226" s="73"/>
    </row>
    <row r="227" spans="1:12">
      <c r="A227" s="3" t="s">
        <v>137</v>
      </c>
      <c r="E227" s="15"/>
      <c r="F227" s="15"/>
      <c r="H227" s="73"/>
    </row>
    <row r="228" spans="1:12">
      <c r="A228" s="16" t="s">
        <v>261</v>
      </c>
      <c r="B228" s="16"/>
      <c r="C228" s="14"/>
      <c r="E228" s="15"/>
      <c r="F228" s="15"/>
      <c r="H228" s="73"/>
      <c r="L228" s="40"/>
    </row>
    <row r="229" spans="1:12">
      <c r="A229" s="16"/>
      <c r="B229" s="16"/>
      <c r="C229" s="14"/>
      <c r="E229" s="15"/>
      <c r="F229" s="15"/>
      <c r="H229" s="73"/>
      <c r="L229" s="40"/>
    </row>
    <row r="230" spans="1:12">
      <c r="A230" s="14"/>
      <c r="B230" s="14"/>
      <c r="C230" s="14"/>
      <c r="E230" s="15"/>
      <c r="F230" s="15"/>
      <c r="H230" s="73"/>
    </row>
    <row r="231" spans="1:12">
      <c r="A231" s="1" t="s">
        <v>93</v>
      </c>
      <c r="B231" s="1"/>
      <c r="D231" s="100"/>
      <c r="E231" s="100"/>
      <c r="F231" s="3"/>
      <c r="G231" s="8"/>
      <c r="H231" s="3"/>
      <c r="L231" s="3"/>
    </row>
    <row r="232" spans="1:12">
      <c r="A232" s="1"/>
      <c r="B232" s="1"/>
      <c r="D232" s="100"/>
      <c r="E232" s="100"/>
      <c r="F232" s="3"/>
      <c r="G232" s="8"/>
      <c r="H232" s="3"/>
      <c r="L232" s="3"/>
    </row>
    <row r="233" spans="1:12">
      <c r="A233" s="1" t="s">
        <v>94</v>
      </c>
      <c r="B233" s="36"/>
      <c r="C233" s="37"/>
      <c r="D233" s="38"/>
      <c r="E233" s="38"/>
      <c r="F233" s="37"/>
      <c r="G233" s="39"/>
      <c r="H233" s="37"/>
      <c r="I233" s="104"/>
      <c r="L233" s="3"/>
    </row>
    <row r="234" spans="1:12">
      <c r="A234" s="3" t="s">
        <v>196</v>
      </c>
      <c r="B234" s="36"/>
      <c r="C234" s="37"/>
      <c r="D234" s="38"/>
      <c r="E234" s="38"/>
      <c r="F234" s="37"/>
      <c r="G234" s="39"/>
      <c r="H234" s="37"/>
      <c r="I234" s="104"/>
      <c r="L234" s="3"/>
    </row>
    <row r="235" spans="1:12">
      <c r="A235" s="3" t="s">
        <v>154</v>
      </c>
      <c r="B235" s="36"/>
      <c r="C235" s="37"/>
      <c r="D235" s="38"/>
      <c r="E235" s="38"/>
      <c r="F235" s="37"/>
      <c r="G235" s="39"/>
      <c r="H235" s="37"/>
      <c r="I235" s="105"/>
      <c r="L235" s="3"/>
    </row>
    <row r="236" spans="1:12">
      <c r="B236" s="36"/>
      <c r="C236" s="37"/>
      <c r="D236" s="38"/>
      <c r="E236" s="38"/>
      <c r="F236" s="37"/>
      <c r="G236" s="39"/>
      <c r="H236" s="37"/>
      <c r="I236" s="105"/>
      <c r="L236" s="3"/>
    </row>
    <row r="237" spans="1:12">
      <c r="A237" s="3" t="s">
        <v>240</v>
      </c>
      <c r="B237" s="36"/>
      <c r="C237" s="37"/>
      <c r="D237" s="38"/>
      <c r="E237" s="38"/>
      <c r="F237" s="37"/>
      <c r="G237" s="39"/>
      <c r="H237" s="37"/>
      <c r="I237" s="105"/>
      <c r="L237" s="3"/>
    </row>
    <row r="238" spans="1:12">
      <c r="A238" s="3" t="s">
        <v>185</v>
      </c>
      <c r="B238" s="36"/>
      <c r="C238" s="37"/>
      <c r="D238" s="38"/>
      <c r="E238" s="38"/>
      <c r="F238" s="37"/>
      <c r="G238" s="39"/>
      <c r="H238" s="37"/>
      <c r="I238" s="105"/>
      <c r="L238" s="3"/>
    </row>
    <row r="239" spans="1:12">
      <c r="A239" s="3" t="s">
        <v>218</v>
      </c>
      <c r="B239" s="36"/>
      <c r="C239" s="37"/>
      <c r="D239" s="38"/>
      <c r="E239" s="38"/>
      <c r="F239" s="37"/>
      <c r="G239" s="39"/>
      <c r="H239" s="37"/>
      <c r="I239" s="105"/>
      <c r="L239" s="3"/>
    </row>
    <row r="240" spans="1:12">
      <c r="A240" s="3" t="s">
        <v>219</v>
      </c>
      <c r="B240" s="36"/>
      <c r="C240" s="37"/>
      <c r="D240" s="38"/>
      <c r="E240" s="38"/>
      <c r="F240" s="37"/>
      <c r="G240" s="39"/>
      <c r="H240" s="37"/>
      <c r="I240" s="105"/>
      <c r="L240" s="3"/>
    </row>
    <row r="241" spans="1:12">
      <c r="B241" s="36"/>
      <c r="C241" s="37"/>
      <c r="D241" s="38"/>
      <c r="E241" s="38"/>
      <c r="F241" s="37"/>
      <c r="G241" s="39"/>
      <c r="H241" s="37"/>
      <c r="I241" s="105"/>
      <c r="L241" s="3"/>
    </row>
    <row r="242" spans="1:12">
      <c r="A242" s="1" t="s">
        <v>280</v>
      </c>
      <c r="B242" s="36"/>
      <c r="C242" s="37"/>
      <c r="D242" s="38"/>
      <c r="E242" s="38"/>
      <c r="F242" s="37"/>
      <c r="G242" s="39"/>
      <c r="H242" s="37"/>
      <c r="I242" s="105"/>
      <c r="L242" s="3"/>
    </row>
    <row r="243" spans="1:12">
      <c r="A243" s="3" t="s">
        <v>281</v>
      </c>
      <c r="B243" s="36"/>
      <c r="C243" s="37"/>
      <c r="D243" s="38"/>
      <c r="E243" s="38"/>
      <c r="F243" s="37"/>
      <c r="G243" s="39"/>
      <c r="H243" s="37"/>
      <c r="I243" s="105"/>
      <c r="L243" s="3"/>
    </row>
    <row r="244" spans="1:12">
      <c r="A244" s="3" t="s">
        <v>267</v>
      </c>
      <c r="B244" s="36"/>
      <c r="C244" s="37"/>
      <c r="D244" s="38"/>
      <c r="E244" s="38"/>
      <c r="F244" s="37"/>
      <c r="G244" s="39"/>
      <c r="H244" s="37"/>
      <c r="I244" s="105"/>
      <c r="L244" s="3"/>
    </row>
    <row r="245" spans="1:12">
      <c r="A245" s="3" t="s">
        <v>268</v>
      </c>
      <c r="B245" s="36"/>
      <c r="C245" s="37"/>
      <c r="D245" s="38"/>
      <c r="E245" s="38"/>
      <c r="F245" s="37"/>
      <c r="G245" s="39"/>
      <c r="H245" s="37"/>
      <c r="I245" s="105"/>
      <c r="L245" s="3"/>
    </row>
    <row r="246" spans="1:12">
      <c r="A246" s="3" t="s">
        <v>269</v>
      </c>
      <c r="B246" s="36"/>
      <c r="C246" s="37"/>
      <c r="D246" s="38"/>
      <c r="E246" s="38"/>
      <c r="F246" s="37"/>
      <c r="G246" s="39"/>
      <c r="H246" s="37"/>
      <c r="I246" s="105"/>
      <c r="L246" s="3"/>
    </row>
    <row r="247" spans="1:12">
      <c r="A247" s="3" t="s">
        <v>270</v>
      </c>
      <c r="B247" s="37"/>
      <c r="C247" s="37"/>
      <c r="D247" s="38"/>
      <c r="E247" s="38"/>
      <c r="F247" s="37"/>
      <c r="G247" s="39"/>
      <c r="H247" s="37"/>
      <c r="I247" s="105"/>
      <c r="L247" s="3"/>
    </row>
    <row r="248" spans="1:12">
      <c r="B248" s="37"/>
      <c r="C248" s="37"/>
      <c r="D248" s="38"/>
      <c r="E248" s="38"/>
      <c r="F248" s="37"/>
      <c r="G248" s="39"/>
      <c r="H248" s="37"/>
      <c r="I248" s="105"/>
      <c r="L248" s="3"/>
    </row>
    <row r="249" spans="1:12">
      <c r="A249" s="3" t="s">
        <v>220</v>
      </c>
      <c r="B249" s="37"/>
      <c r="C249" s="37"/>
      <c r="D249" s="38"/>
      <c r="E249" s="38"/>
      <c r="F249" s="37"/>
      <c r="G249" s="39"/>
      <c r="H249" s="37"/>
      <c r="I249" s="105"/>
      <c r="L249" s="3"/>
    </row>
    <row r="250" spans="1:12">
      <c r="A250" s="3" t="s">
        <v>221</v>
      </c>
      <c r="B250" s="37"/>
      <c r="C250" s="37"/>
      <c r="D250" s="38"/>
      <c r="E250" s="38"/>
      <c r="F250" s="37"/>
      <c r="G250" s="39"/>
      <c r="H250" s="37"/>
      <c r="I250" s="105"/>
      <c r="L250" s="3"/>
    </row>
    <row r="251" spans="1:12">
      <c r="A251" s="3" t="s">
        <v>222</v>
      </c>
      <c r="B251" s="37"/>
      <c r="C251" s="37"/>
      <c r="D251" s="38"/>
      <c r="E251" s="38"/>
      <c r="F251" s="37"/>
      <c r="G251" s="39"/>
      <c r="H251" s="37"/>
      <c r="I251" s="105"/>
      <c r="L251" s="3"/>
    </row>
    <row r="252" spans="1:12">
      <c r="A252" s="3" t="s">
        <v>223</v>
      </c>
      <c r="B252" s="37"/>
      <c r="C252" s="37"/>
      <c r="D252" s="38"/>
      <c r="E252" s="38"/>
      <c r="F252" s="37"/>
      <c r="G252" s="39"/>
      <c r="H252" s="37"/>
      <c r="I252" s="105"/>
      <c r="L252" s="3"/>
    </row>
    <row r="253" spans="1:12">
      <c r="B253" s="37"/>
      <c r="C253" s="37"/>
      <c r="D253" s="38"/>
      <c r="E253" s="38"/>
      <c r="F253" s="37"/>
      <c r="G253" s="39"/>
      <c r="H253" s="37"/>
      <c r="I253" s="105"/>
      <c r="L253" s="3"/>
    </row>
    <row r="254" spans="1:12">
      <c r="B254" s="37"/>
      <c r="C254" s="37"/>
      <c r="D254" s="38"/>
      <c r="E254" s="38"/>
      <c r="F254" s="37"/>
      <c r="G254" s="39"/>
      <c r="H254" s="37"/>
      <c r="I254" s="105"/>
      <c r="L254" s="3"/>
    </row>
    <row r="255" spans="1:12">
      <c r="A255" s="1" t="s">
        <v>271</v>
      </c>
      <c r="B255" s="37"/>
      <c r="C255" s="37"/>
      <c r="D255" s="38"/>
      <c r="E255" s="38"/>
      <c r="F255" s="37"/>
      <c r="G255" s="39"/>
      <c r="H255" s="37"/>
      <c r="I255" s="105"/>
      <c r="L255" s="3"/>
    </row>
    <row r="256" spans="1:12">
      <c r="A256" s="106"/>
      <c r="B256" s="106"/>
      <c r="C256" s="106"/>
      <c r="D256" s="17"/>
      <c r="E256" s="107" t="s">
        <v>184</v>
      </c>
      <c r="F256" s="138" t="s">
        <v>184</v>
      </c>
      <c r="G256" s="138"/>
      <c r="H256" s="3"/>
      <c r="L256" s="3"/>
    </row>
    <row r="257" spans="1:12">
      <c r="A257" s="106"/>
      <c r="B257" s="106"/>
      <c r="C257" s="106"/>
      <c r="D257" s="17"/>
      <c r="E257" s="107" t="s">
        <v>183</v>
      </c>
      <c r="F257" s="138" t="s">
        <v>183</v>
      </c>
      <c r="G257" s="138"/>
      <c r="H257" s="3"/>
      <c r="L257" s="3"/>
    </row>
    <row r="258" spans="1:12">
      <c r="A258" s="108"/>
      <c r="B258" s="108"/>
      <c r="C258" s="109"/>
      <c r="D258" s="101"/>
      <c r="E258" s="110">
        <v>41639</v>
      </c>
      <c r="F258" s="139">
        <v>41274</v>
      </c>
      <c r="G258" s="139"/>
      <c r="H258" s="3"/>
      <c r="L258" s="3"/>
    </row>
    <row r="259" spans="1:12">
      <c r="A259" s="108"/>
      <c r="B259" s="108"/>
      <c r="C259" s="111"/>
      <c r="D259" s="112"/>
      <c r="E259" s="113"/>
      <c r="F259" s="140"/>
      <c r="G259" s="140"/>
      <c r="H259" s="3"/>
      <c r="L259" s="3"/>
    </row>
    <row r="260" spans="1:12">
      <c r="A260" s="114" t="s">
        <v>207</v>
      </c>
      <c r="B260" s="114"/>
      <c r="C260" s="115"/>
      <c r="D260" s="115"/>
      <c r="E260" s="115">
        <v>72707</v>
      </c>
      <c r="F260" s="141">
        <v>61574</v>
      </c>
      <c r="G260" s="141"/>
      <c r="H260" s="3"/>
      <c r="I260" s="115"/>
      <c r="L260" s="3"/>
    </row>
    <row r="261" spans="1:12">
      <c r="A261" s="116" t="s">
        <v>208</v>
      </c>
      <c r="B261" s="116"/>
      <c r="C261" s="116"/>
      <c r="D261" s="116"/>
      <c r="E261" s="116">
        <v>-55560</v>
      </c>
      <c r="F261" s="136">
        <v>-51584</v>
      </c>
      <c r="G261" s="136"/>
      <c r="H261" s="3"/>
      <c r="L261" s="3"/>
    </row>
    <row r="262" spans="1:12">
      <c r="A262" s="106" t="s">
        <v>209</v>
      </c>
      <c r="B262" s="106"/>
      <c r="C262" s="106"/>
      <c r="D262" s="106"/>
      <c r="E262" s="106">
        <f>+E260+E261</f>
        <v>17147</v>
      </c>
      <c r="F262" s="137">
        <f>SUM(F260:G261)</f>
        <v>9990</v>
      </c>
      <c r="G262" s="137"/>
      <c r="H262" s="3"/>
      <c r="L262" s="3"/>
    </row>
    <row r="263" spans="1:12">
      <c r="A263" s="116" t="s">
        <v>126</v>
      </c>
      <c r="B263" s="116"/>
      <c r="C263" s="116"/>
      <c r="D263" s="116"/>
      <c r="E263" s="116">
        <v>2418</v>
      </c>
      <c r="F263" s="136">
        <v>1409</v>
      </c>
      <c r="G263" s="136"/>
      <c r="H263" s="3"/>
      <c r="L263" s="3"/>
    </row>
    <row r="264" spans="1:12">
      <c r="A264" s="114" t="s">
        <v>210</v>
      </c>
      <c r="B264" s="114"/>
      <c r="C264" s="106"/>
      <c r="D264" s="106"/>
      <c r="E264" s="106">
        <f>+E262+E263</f>
        <v>19565</v>
      </c>
      <c r="F264" s="137">
        <f>SUM(F262:G263)</f>
        <v>11399</v>
      </c>
      <c r="G264" s="137"/>
      <c r="H264" s="3"/>
      <c r="I264" s="114"/>
      <c r="L264" s="3"/>
    </row>
    <row r="265" spans="1:12">
      <c r="A265" s="114" t="s">
        <v>182</v>
      </c>
      <c r="B265" s="114"/>
      <c r="C265" s="116"/>
      <c r="D265" s="116"/>
      <c r="E265" s="116">
        <v>-19565</v>
      </c>
      <c r="F265" s="136">
        <v>-11399</v>
      </c>
      <c r="G265" s="136"/>
      <c r="H265" s="3"/>
      <c r="L265" s="3"/>
    </row>
    <row r="266" spans="1:12">
      <c r="A266" s="117" t="s">
        <v>224</v>
      </c>
      <c r="B266" s="117"/>
      <c r="C266" s="117"/>
      <c r="D266" s="117"/>
      <c r="E266" s="117">
        <f>+E264+E265</f>
        <v>0</v>
      </c>
      <c r="F266" s="132">
        <f>SUM(F264:G265)</f>
        <v>0</v>
      </c>
      <c r="G266" s="132"/>
      <c r="H266" s="3"/>
      <c r="L266" s="3"/>
    </row>
    <row r="267" spans="1:12">
      <c r="A267" s="106" t="s">
        <v>225</v>
      </c>
      <c r="B267" s="106"/>
      <c r="C267" s="106"/>
      <c r="D267" s="106"/>
      <c r="E267" s="106">
        <f>+E266/114.1*14.1</f>
        <v>0</v>
      </c>
      <c r="F267" s="115"/>
      <c r="G267" s="115">
        <f>+F266/114.1*14.1</f>
        <v>0</v>
      </c>
      <c r="H267" s="3"/>
      <c r="L267" s="3"/>
    </row>
    <row r="268" spans="1:12">
      <c r="A268" s="116" t="s">
        <v>226</v>
      </c>
      <c r="B268" s="116"/>
      <c r="C268" s="116"/>
      <c r="D268" s="116"/>
      <c r="E268" s="116">
        <f>+E266-E267</f>
        <v>0</v>
      </c>
      <c r="F268" s="118"/>
      <c r="G268" s="118">
        <f>+F266-G267</f>
        <v>0</v>
      </c>
      <c r="H268" s="3"/>
      <c r="L268" s="3"/>
    </row>
    <row r="269" spans="1:12">
      <c r="A269" s="106"/>
      <c r="B269" s="106"/>
      <c r="C269" s="106"/>
      <c r="D269" s="106"/>
      <c r="E269" s="106"/>
      <c r="F269" s="115"/>
      <c r="G269" s="115"/>
      <c r="H269" s="3"/>
      <c r="L269" s="3"/>
    </row>
    <row r="270" spans="1:12">
      <c r="A270" s="106"/>
      <c r="B270" s="106"/>
      <c r="C270" s="106"/>
      <c r="D270" s="106"/>
      <c r="E270" s="106"/>
      <c r="F270" s="115"/>
      <c r="G270" s="115"/>
      <c r="H270" s="3"/>
      <c r="L270" s="3"/>
    </row>
    <row r="271" spans="1:12">
      <c r="A271" s="108" t="s">
        <v>181</v>
      </c>
      <c r="B271" s="108"/>
      <c r="C271" s="114"/>
      <c r="D271" s="114"/>
      <c r="E271" s="108">
        <v>2013</v>
      </c>
      <c r="F271" s="108"/>
      <c r="G271" s="108">
        <v>2012</v>
      </c>
      <c r="H271" s="37"/>
      <c r="I271" s="105"/>
      <c r="J271" s="105"/>
      <c r="L271" s="3"/>
    </row>
    <row r="272" spans="1:12">
      <c r="A272" s="114" t="s">
        <v>161</v>
      </c>
      <c r="B272" s="114"/>
      <c r="C272" s="114"/>
      <c r="D272" s="114"/>
      <c r="E272" s="119">
        <v>4.1000000000000002E-2</v>
      </c>
      <c r="F272" s="119"/>
      <c r="G272" s="119">
        <v>4.2000000000000003E-2</v>
      </c>
      <c r="H272" s="37"/>
      <c r="I272" s="105"/>
      <c r="J272" s="105"/>
      <c r="L272" s="3"/>
    </row>
    <row r="273" spans="1:12">
      <c r="A273" s="114" t="s">
        <v>180</v>
      </c>
      <c r="B273" s="114"/>
      <c r="C273" s="114"/>
      <c r="D273" s="114"/>
      <c r="E273" s="119">
        <v>3.7499999999999999E-2</v>
      </c>
      <c r="F273" s="119"/>
      <c r="G273" s="119">
        <v>3.5000000000000003E-2</v>
      </c>
      <c r="H273" s="37"/>
      <c r="I273" s="105"/>
      <c r="J273" s="105"/>
      <c r="L273" s="3"/>
    </row>
    <row r="274" spans="1:12">
      <c r="A274" s="114" t="s">
        <v>179</v>
      </c>
      <c r="B274" s="114"/>
      <c r="C274" s="114"/>
      <c r="D274" s="114"/>
      <c r="E274" s="119">
        <v>3.5000000000000003E-2</v>
      </c>
      <c r="F274" s="119"/>
      <c r="G274" s="119">
        <v>3.2500000000000001E-2</v>
      </c>
      <c r="H274" s="37"/>
      <c r="I274" s="105"/>
      <c r="J274" s="105"/>
      <c r="L274" s="3"/>
    </row>
    <row r="275" spans="1:12">
      <c r="A275" s="114" t="s">
        <v>178</v>
      </c>
      <c r="B275" s="114"/>
      <c r="C275" s="114"/>
      <c r="D275" s="114"/>
      <c r="E275" s="119">
        <v>4.3999999999999997E-2</v>
      </c>
      <c r="F275" s="119"/>
      <c r="G275" s="119">
        <v>0.04</v>
      </c>
      <c r="H275" s="1"/>
      <c r="I275" s="120"/>
      <c r="J275" s="120"/>
      <c r="L275" s="3"/>
    </row>
    <row r="276" spans="1:12">
      <c r="A276" s="114" t="s">
        <v>177</v>
      </c>
      <c r="B276" s="114"/>
      <c r="C276" s="114"/>
      <c r="D276" s="114"/>
      <c r="E276" s="119">
        <v>2.75E-2</v>
      </c>
      <c r="F276" s="119"/>
      <c r="G276" s="119">
        <v>2.5000000000000001E-2</v>
      </c>
      <c r="H276" s="1"/>
      <c r="I276" s="114"/>
      <c r="J276" s="114"/>
      <c r="L276" s="3"/>
    </row>
    <row r="277" spans="1:12">
      <c r="A277" s="114"/>
      <c r="B277" s="114"/>
      <c r="C277" s="114"/>
      <c r="D277" s="114"/>
      <c r="E277" s="119"/>
      <c r="F277" s="119"/>
      <c r="H277" s="1"/>
      <c r="I277" s="114"/>
      <c r="J277" s="114"/>
      <c r="L277" s="3"/>
    </row>
    <row r="278" spans="1:12">
      <c r="A278" s="106"/>
      <c r="B278" s="106"/>
      <c r="C278" s="106"/>
      <c r="D278" s="106"/>
      <c r="E278" s="106"/>
      <c r="F278" s="106"/>
      <c r="H278" s="37"/>
      <c r="I278" s="105"/>
      <c r="J278" s="105"/>
      <c r="L278" s="3"/>
    </row>
    <row r="279" spans="1:12">
      <c r="A279" s="121" t="s">
        <v>227</v>
      </c>
      <c r="B279" s="121"/>
      <c r="C279" s="121"/>
      <c r="D279" s="122"/>
      <c r="E279" s="36"/>
      <c r="F279" s="123">
        <v>2013</v>
      </c>
      <c r="G279" s="1">
        <v>2012</v>
      </c>
      <c r="H279" s="36"/>
      <c r="I279" s="124"/>
      <c r="J279" s="124"/>
      <c r="L279" s="3"/>
    </row>
    <row r="280" spans="1:12">
      <c r="A280" s="121"/>
      <c r="B280" s="121"/>
      <c r="C280" s="121"/>
      <c r="D280" s="122"/>
      <c r="E280" s="36"/>
      <c r="F280" s="123"/>
      <c r="G280" s="1"/>
      <c r="H280" s="36"/>
      <c r="I280" s="124"/>
      <c r="J280" s="124"/>
      <c r="L280" s="3"/>
    </row>
    <row r="281" spans="1:12">
      <c r="A281" s="106" t="s">
        <v>228</v>
      </c>
      <c r="B281" s="106"/>
      <c r="C281" s="106"/>
      <c r="D281" s="17"/>
      <c r="E281" s="37"/>
      <c r="F281" s="125">
        <v>6818</v>
      </c>
      <c r="G281" s="125">
        <v>6310</v>
      </c>
      <c r="H281" s="37"/>
      <c r="I281" s="105"/>
      <c r="J281" s="105"/>
      <c r="L281" s="3"/>
    </row>
    <row r="282" spans="1:12">
      <c r="A282" s="106" t="s">
        <v>205</v>
      </c>
      <c r="B282" s="106"/>
      <c r="C282" s="106"/>
      <c r="D282" s="17"/>
      <c r="E282" s="37"/>
      <c r="F282" s="106">
        <v>-816</v>
      </c>
      <c r="G282" s="106">
        <v>-792</v>
      </c>
      <c r="H282" s="37"/>
      <c r="I282" s="105"/>
      <c r="J282" s="105"/>
      <c r="L282" s="3"/>
    </row>
    <row r="283" spans="1:12">
      <c r="A283" s="106" t="s">
        <v>206</v>
      </c>
      <c r="B283" s="106"/>
      <c r="C283" s="106"/>
      <c r="D283" s="17"/>
      <c r="E283" s="37"/>
      <c r="F283" s="126">
        <v>29</v>
      </c>
      <c r="G283" s="126">
        <v>0</v>
      </c>
      <c r="H283" s="37"/>
      <c r="I283" s="105"/>
      <c r="J283" s="105"/>
      <c r="L283" s="3"/>
    </row>
    <row r="284" spans="1:12">
      <c r="A284" s="106" t="s">
        <v>229</v>
      </c>
      <c r="B284" s="106"/>
      <c r="C284" s="106"/>
      <c r="D284" s="17"/>
      <c r="E284" s="37"/>
      <c r="F284" s="127">
        <f>SUM(F281:F283)</f>
        <v>6031</v>
      </c>
      <c r="G284" s="127">
        <f>SUM(G281:G283)</f>
        <v>5518</v>
      </c>
      <c r="H284" s="37"/>
      <c r="I284" s="105"/>
      <c r="J284" s="105"/>
      <c r="L284" s="3"/>
    </row>
    <row r="285" spans="1:12">
      <c r="A285" s="106"/>
      <c r="B285" s="106"/>
      <c r="C285" s="106"/>
      <c r="D285" s="106"/>
      <c r="E285" s="106"/>
      <c r="F285" s="106"/>
      <c r="H285" s="37"/>
      <c r="I285" s="105"/>
      <c r="J285" s="105"/>
      <c r="L285" s="3"/>
    </row>
    <row r="286" spans="1:12">
      <c r="A286" s="114"/>
      <c r="B286" s="114"/>
      <c r="C286" s="114"/>
      <c r="D286" s="114"/>
      <c r="E286" s="114"/>
      <c r="F286" s="128"/>
      <c r="H286" s="1"/>
      <c r="I286" s="114"/>
      <c r="J286" s="114"/>
      <c r="L286" s="3"/>
    </row>
    <row r="287" spans="1:12">
      <c r="A287" s="114" t="s">
        <v>176</v>
      </c>
      <c r="B287" s="114"/>
      <c r="C287" s="114"/>
      <c r="D287" s="114"/>
      <c r="E287" s="114"/>
      <c r="F287" s="128"/>
      <c r="H287" s="1"/>
      <c r="I287" s="114"/>
      <c r="J287" s="114"/>
      <c r="L287" s="3"/>
    </row>
    <row r="288" spans="1:12">
      <c r="A288" s="114" t="s">
        <v>175</v>
      </c>
      <c r="B288" s="114"/>
      <c r="C288" s="114"/>
      <c r="D288" s="114"/>
      <c r="E288" s="114"/>
      <c r="F288" s="128"/>
      <c r="H288" s="1"/>
      <c r="I288" s="114"/>
      <c r="J288" s="114"/>
      <c r="L288" s="3"/>
    </row>
    <row r="289" spans="1:15" s="78" customFormat="1">
      <c r="A289" s="80"/>
      <c r="B289" s="80"/>
      <c r="C289" s="80"/>
      <c r="D289" s="80"/>
      <c r="E289" s="80"/>
      <c r="F289" s="80"/>
      <c r="G289" s="84"/>
      <c r="H289" s="3"/>
      <c r="I289" s="1"/>
      <c r="J289" s="80"/>
      <c r="K289" s="80"/>
    </row>
    <row r="290" spans="1:15">
      <c r="A290" s="1" t="s">
        <v>95</v>
      </c>
      <c r="B290" s="1"/>
      <c r="E290" s="5"/>
      <c r="F290" s="5"/>
      <c r="G290" s="1"/>
      <c r="J290" s="80"/>
      <c r="K290" s="80"/>
      <c r="L290" s="54"/>
      <c r="M290" s="80"/>
      <c r="N290" s="80"/>
      <c r="O290" s="83"/>
    </row>
    <row r="291" spans="1:15">
      <c r="A291" s="16"/>
      <c r="B291" s="16"/>
      <c r="E291" s="5"/>
      <c r="F291" s="5"/>
      <c r="G291" s="1"/>
      <c r="J291" s="80"/>
      <c r="K291" s="80"/>
      <c r="L291" s="54"/>
      <c r="M291" s="80"/>
      <c r="N291" s="80"/>
      <c r="O291" s="83"/>
    </row>
    <row r="292" spans="1:15" ht="20">
      <c r="A292" s="55"/>
      <c r="B292" s="29" t="s">
        <v>259</v>
      </c>
      <c r="C292" s="29" t="s">
        <v>142</v>
      </c>
      <c r="D292" s="29" t="s">
        <v>140</v>
      </c>
      <c r="E292" s="34" t="s">
        <v>96</v>
      </c>
      <c r="F292" s="29" t="s">
        <v>174</v>
      </c>
      <c r="G292" s="29" t="s">
        <v>24</v>
      </c>
      <c r="H292" s="34" t="s">
        <v>187</v>
      </c>
      <c r="I292" s="34" t="s">
        <v>128</v>
      </c>
      <c r="J292" s="34" t="s">
        <v>141</v>
      </c>
      <c r="K292" s="34" t="s">
        <v>17</v>
      </c>
      <c r="L292" s="54"/>
      <c r="M292" s="80"/>
      <c r="N292" s="80"/>
      <c r="O292" s="83"/>
    </row>
    <row r="293" spans="1:15">
      <c r="A293" s="56"/>
      <c r="B293" s="56"/>
      <c r="C293" s="30"/>
      <c r="D293" s="30"/>
      <c r="E293" s="30"/>
      <c r="F293" s="30"/>
      <c r="G293" s="30"/>
      <c r="H293" s="30"/>
      <c r="I293" s="30"/>
      <c r="J293" s="80"/>
      <c r="K293" s="80"/>
      <c r="L293" s="54"/>
      <c r="M293" s="80"/>
      <c r="N293" s="80"/>
      <c r="O293" s="83"/>
    </row>
    <row r="294" spans="1:15">
      <c r="A294" s="56" t="s">
        <v>97</v>
      </c>
      <c r="B294" s="31">
        <v>8785</v>
      </c>
      <c r="C294" s="31">
        <f>18061+5000</f>
        <v>23061</v>
      </c>
      <c r="D294" s="31">
        <v>32908</v>
      </c>
      <c r="E294" s="31">
        <v>2403</v>
      </c>
      <c r="F294" s="31">
        <v>5365</v>
      </c>
      <c r="G294" s="31">
        <v>5853</v>
      </c>
      <c r="H294" s="31">
        <v>21674</v>
      </c>
      <c r="I294" s="35">
        <v>853</v>
      </c>
      <c r="J294" s="35">
        <v>615</v>
      </c>
      <c r="K294" s="31">
        <f>SUM(B294:J294)</f>
        <v>101517</v>
      </c>
      <c r="L294" s="54"/>
      <c r="M294" s="80"/>
      <c r="N294" s="80"/>
      <c r="O294" s="84"/>
    </row>
    <row r="295" spans="1:15">
      <c r="A295" s="56" t="s">
        <v>98</v>
      </c>
      <c r="B295" s="31">
        <v>4699</v>
      </c>
      <c r="C295" s="31"/>
      <c r="D295" s="31"/>
      <c r="E295" s="31"/>
      <c r="F295" s="31">
        <v>961</v>
      </c>
      <c r="G295" s="31">
        <v>1958</v>
      </c>
      <c r="H295" s="31">
        <v>3030</v>
      </c>
      <c r="I295" s="31"/>
      <c r="J295" s="31"/>
      <c r="K295" s="31">
        <f>SUM(B295:J295)</f>
        <v>10648</v>
      </c>
      <c r="L295" s="54"/>
      <c r="M295" s="80"/>
      <c r="N295" s="80"/>
      <c r="O295" s="84"/>
    </row>
    <row r="296" spans="1:15">
      <c r="A296" s="56" t="s">
        <v>198</v>
      </c>
      <c r="B296" s="92"/>
      <c r="C296" s="57"/>
      <c r="D296" s="57"/>
      <c r="E296" s="57"/>
      <c r="F296" s="57"/>
      <c r="G296" s="57"/>
      <c r="H296" s="57">
        <v>1221</v>
      </c>
      <c r="I296" s="58"/>
      <c r="J296" s="59"/>
      <c r="K296" s="59">
        <f>SUM(B296:J296)</f>
        <v>1221</v>
      </c>
      <c r="L296" s="54"/>
      <c r="M296" s="80"/>
      <c r="N296" s="80"/>
      <c r="O296" s="84"/>
    </row>
    <row r="297" spans="1:15">
      <c r="A297" s="56" t="s">
        <v>99</v>
      </c>
      <c r="B297" s="31">
        <f>B294+B295-B296</f>
        <v>13484</v>
      </c>
      <c r="C297" s="31">
        <f>C294+C295-C296</f>
        <v>23061</v>
      </c>
      <c r="D297" s="31">
        <f t="shared" ref="D297:J297" si="0">D294+D295-D296</f>
        <v>32908</v>
      </c>
      <c r="E297" s="31">
        <f t="shared" si="0"/>
        <v>2403</v>
      </c>
      <c r="F297" s="31">
        <f t="shared" si="0"/>
        <v>6326</v>
      </c>
      <c r="G297" s="31">
        <f t="shared" si="0"/>
        <v>7811</v>
      </c>
      <c r="H297" s="31">
        <f t="shared" si="0"/>
        <v>23483</v>
      </c>
      <c r="I297" s="31">
        <f t="shared" si="0"/>
        <v>853</v>
      </c>
      <c r="J297" s="31">
        <f t="shared" si="0"/>
        <v>615</v>
      </c>
      <c r="K297" s="31">
        <f>SUM(B297:J297)</f>
        <v>110944</v>
      </c>
      <c r="L297" s="54"/>
      <c r="M297" s="80"/>
      <c r="N297" s="80"/>
      <c r="O297" s="84"/>
    </row>
    <row r="298" spans="1:15">
      <c r="A298" s="56"/>
      <c r="B298" s="56"/>
      <c r="C298" s="31"/>
      <c r="D298" s="31"/>
      <c r="E298" s="31"/>
      <c r="F298" s="31"/>
      <c r="G298" s="31"/>
      <c r="H298" s="31"/>
      <c r="I298" s="31"/>
      <c r="J298" s="80"/>
      <c r="K298" s="31"/>
      <c r="L298" s="54"/>
      <c r="M298" s="80"/>
      <c r="N298" s="80"/>
      <c r="O298" s="84"/>
    </row>
    <row r="299" spans="1:15">
      <c r="A299" s="56"/>
      <c r="B299" s="56"/>
      <c r="C299" s="31"/>
      <c r="D299" s="31"/>
      <c r="E299" s="31"/>
      <c r="F299" s="31"/>
      <c r="G299" s="31"/>
      <c r="H299" s="31"/>
      <c r="I299" s="31"/>
      <c r="J299" s="80"/>
      <c r="K299" s="31"/>
      <c r="L299" s="54"/>
      <c r="M299" s="80"/>
      <c r="N299" s="80"/>
      <c r="O299" s="84"/>
    </row>
    <row r="300" spans="1:15">
      <c r="A300" s="56" t="s">
        <v>139</v>
      </c>
      <c r="B300" s="60">
        <v>0</v>
      </c>
      <c r="C300" s="60">
        <f>17745+559</f>
        <v>18304</v>
      </c>
      <c r="D300" s="60">
        <v>271</v>
      </c>
      <c r="E300" s="60">
        <v>2403</v>
      </c>
      <c r="F300" s="60">
        <v>352</v>
      </c>
      <c r="G300" s="60">
        <v>4039</v>
      </c>
      <c r="H300" s="60">
        <v>0</v>
      </c>
      <c r="I300" s="31">
        <v>794</v>
      </c>
      <c r="J300" s="31">
        <v>575</v>
      </c>
      <c r="K300" s="31">
        <f>SUM(B300:J300)</f>
        <v>26738</v>
      </c>
    </row>
    <row r="301" spans="1:15">
      <c r="A301" s="56" t="s">
        <v>200</v>
      </c>
      <c r="B301" s="56"/>
      <c r="C301" s="60"/>
      <c r="D301" s="60"/>
      <c r="E301" s="60"/>
      <c r="F301" s="60"/>
      <c r="G301" s="60"/>
      <c r="H301" s="60"/>
      <c r="I301" s="31"/>
      <c r="J301" s="31"/>
      <c r="K301" s="31"/>
    </row>
    <row r="302" spans="1:15">
      <c r="A302" s="56" t="s">
        <v>156</v>
      </c>
      <c r="B302" s="56"/>
      <c r="C302" s="60"/>
      <c r="D302" s="60">
        <v>28404</v>
      </c>
      <c r="E302" s="60"/>
      <c r="F302" s="60"/>
      <c r="G302" s="60"/>
      <c r="H302" s="60"/>
      <c r="I302" s="31"/>
      <c r="J302" s="31"/>
      <c r="K302" s="31">
        <f>SUM(B302:J302)</f>
        <v>28404</v>
      </c>
    </row>
    <row r="303" spans="1:15">
      <c r="A303" s="56" t="s">
        <v>166</v>
      </c>
      <c r="B303" s="57">
        <f t="shared" ref="B303:G303" si="1">+B300+B308</f>
        <v>3517</v>
      </c>
      <c r="C303" s="57">
        <f t="shared" si="1"/>
        <v>18534</v>
      </c>
      <c r="D303" s="57">
        <f>D300+D302+D306</f>
        <v>28720</v>
      </c>
      <c r="E303" s="57">
        <f t="shared" si="1"/>
        <v>2403</v>
      </c>
      <c r="F303" s="57">
        <f t="shared" si="1"/>
        <v>637</v>
      </c>
      <c r="G303" s="57">
        <f t="shared" si="1"/>
        <v>4768</v>
      </c>
      <c r="H303" s="57">
        <f>H300-H301+H308</f>
        <v>0</v>
      </c>
      <c r="I303" s="57">
        <f>I300-I301+I308</f>
        <v>834</v>
      </c>
      <c r="J303" s="57">
        <f>+J300+J308</f>
        <v>615</v>
      </c>
      <c r="K303" s="57">
        <f>SUM(B303:J303)</f>
        <v>60028</v>
      </c>
    </row>
    <row r="304" spans="1:15">
      <c r="A304" s="56" t="s">
        <v>100</v>
      </c>
      <c r="B304" s="57">
        <f>B297-B303</f>
        <v>9967</v>
      </c>
      <c r="C304" s="57">
        <f>C297-C303+1</f>
        <v>4528</v>
      </c>
      <c r="D304" s="57">
        <f t="shared" ref="D304:J304" si="2">D297-D303</f>
        <v>4188</v>
      </c>
      <c r="E304" s="57">
        <f t="shared" si="2"/>
        <v>0</v>
      </c>
      <c r="F304" s="57">
        <f t="shared" si="2"/>
        <v>5689</v>
      </c>
      <c r="G304" s="57">
        <f>G297-G303+1</f>
        <v>3044</v>
      </c>
      <c r="H304" s="57">
        <f>H297-H303</f>
        <v>23483</v>
      </c>
      <c r="I304" s="57">
        <f>I297-I303</f>
        <v>19</v>
      </c>
      <c r="J304" s="57">
        <f t="shared" si="2"/>
        <v>0</v>
      </c>
      <c r="K304" s="61">
        <f>SUM(B304:J304)-1</f>
        <v>50917</v>
      </c>
    </row>
    <row r="305" spans="1:11">
      <c r="A305" s="56"/>
      <c r="B305" s="56"/>
      <c r="C305" s="31"/>
      <c r="D305" s="31"/>
      <c r="E305" s="31"/>
      <c r="F305" s="31"/>
      <c r="G305" s="31"/>
      <c r="H305" s="31"/>
      <c r="I305" s="30"/>
      <c r="J305" s="30"/>
      <c r="K305" s="31"/>
    </row>
    <row r="306" spans="1:11">
      <c r="A306" s="56" t="s">
        <v>101</v>
      </c>
      <c r="B306" s="56">
        <v>817</v>
      </c>
      <c r="C306" s="60">
        <f>180+50</f>
        <v>230</v>
      </c>
      <c r="D306" s="60">
        <v>45</v>
      </c>
      <c r="E306" s="60">
        <v>0</v>
      </c>
      <c r="F306" s="60">
        <v>285</v>
      </c>
      <c r="G306" s="60">
        <v>729</v>
      </c>
      <c r="H306" s="60">
        <v>0</v>
      </c>
      <c r="I306" s="62">
        <v>40</v>
      </c>
      <c r="J306" s="60">
        <v>40</v>
      </c>
      <c r="K306" s="31">
        <f>SUM(B306:J306)</f>
        <v>2186</v>
      </c>
    </row>
    <row r="307" spans="1:11">
      <c r="A307" s="56" t="s">
        <v>155</v>
      </c>
      <c r="B307" s="56">
        <v>2700</v>
      </c>
      <c r="C307" s="60"/>
      <c r="D307" s="60"/>
      <c r="E307" s="60"/>
      <c r="F307" s="60"/>
      <c r="G307" s="60"/>
      <c r="H307" s="60"/>
      <c r="I307" s="62"/>
      <c r="J307" s="60"/>
      <c r="K307" s="31">
        <f>SUM(B307:J307)</f>
        <v>2700</v>
      </c>
    </row>
    <row r="308" spans="1:11">
      <c r="A308" s="56" t="s">
        <v>157</v>
      </c>
      <c r="B308" s="63">
        <f>SUM(B306:B307)</f>
        <v>3517</v>
      </c>
      <c r="C308" s="63">
        <f>SUM(C306:C307)</f>
        <v>230</v>
      </c>
      <c r="D308" s="63">
        <f>SUM(D306:D307)</f>
        <v>45</v>
      </c>
      <c r="E308" s="63">
        <v>0</v>
      </c>
      <c r="F308" s="63">
        <f>SUM(F306:F307)</f>
        <v>285</v>
      </c>
      <c r="G308" s="63">
        <f>SUM(G306:G307)</f>
        <v>729</v>
      </c>
      <c r="H308" s="63">
        <f>SUM(H306:H307)</f>
        <v>0</v>
      </c>
      <c r="I308" s="63">
        <f>SUM(I306:I307)</f>
        <v>40</v>
      </c>
      <c r="J308" s="63">
        <f>SUM(J306:J307)</f>
        <v>40</v>
      </c>
      <c r="K308" s="63">
        <f>SUM(B308:J308)</f>
        <v>4886</v>
      </c>
    </row>
    <row r="309" spans="1:11">
      <c r="A309" s="56" t="s">
        <v>102</v>
      </c>
      <c r="B309" s="56"/>
      <c r="C309" s="64" t="s">
        <v>103</v>
      </c>
      <c r="D309" s="64" t="s">
        <v>103</v>
      </c>
      <c r="E309" s="64" t="s">
        <v>104</v>
      </c>
      <c r="F309" s="64" t="s">
        <v>104</v>
      </c>
      <c r="G309" s="65" t="s">
        <v>145</v>
      </c>
      <c r="H309" s="65"/>
      <c r="I309" s="66">
        <v>0.2</v>
      </c>
      <c r="J309" s="66">
        <v>0.2</v>
      </c>
    </row>
    <row r="310" spans="1:11">
      <c r="A310" s="56"/>
      <c r="B310" s="56"/>
      <c r="C310" s="64"/>
      <c r="D310" s="64"/>
      <c r="E310" s="64"/>
      <c r="F310" s="64"/>
      <c r="G310" s="65"/>
      <c r="H310" s="67"/>
      <c r="I310" s="66"/>
      <c r="J310" s="66"/>
    </row>
    <row r="311" spans="1:11">
      <c r="A311" s="56" t="s">
        <v>146</v>
      </c>
      <c r="B311" s="56" t="s">
        <v>147</v>
      </c>
      <c r="C311" s="67" t="s">
        <v>147</v>
      </c>
      <c r="D311" s="67" t="s">
        <v>147</v>
      </c>
      <c r="E311" s="67" t="s">
        <v>148</v>
      </c>
      <c r="F311" s="67" t="s">
        <v>214</v>
      </c>
      <c r="G311" s="65" t="s">
        <v>149</v>
      </c>
      <c r="H311" s="67" t="s">
        <v>153</v>
      </c>
      <c r="I311" s="67" t="s">
        <v>150</v>
      </c>
      <c r="J311" s="66" t="s">
        <v>150</v>
      </c>
    </row>
    <row r="312" spans="1:11">
      <c r="A312" s="56" t="s">
        <v>151</v>
      </c>
      <c r="B312" s="56" t="s">
        <v>260</v>
      </c>
      <c r="C312" s="67" t="s">
        <v>152</v>
      </c>
      <c r="D312" s="67" t="s">
        <v>152</v>
      </c>
      <c r="E312" s="67" t="s">
        <v>152</v>
      </c>
      <c r="F312" s="67" t="s">
        <v>152</v>
      </c>
      <c r="G312" s="65" t="s">
        <v>152</v>
      </c>
      <c r="H312" s="67" t="s">
        <v>153</v>
      </c>
      <c r="I312" s="66" t="s">
        <v>152</v>
      </c>
      <c r="J312" s="66" t="s">
        <v>152</v>
      </c>
    </row>
    <row r="313" spans="1:11">
      <c r="E313" s="73"/>
    </row>
    <row r="314" spans="1:11">
      <c r="A314" s="14" t="s">
        <v>233</v>
      </c>
      <c r="B314" s="14"/>
      <c r="C314" s="14"/>
      <c r="E314" s="73"/>
    </row>
    <row r="315" spans="1:11">
      <c r="A315" s="14"/>
      <c r="B315" s="14"/>
      <c r="C315" s="14"/>
      <c r="E315" s="73"/>
    </row>
    <row r="316" spans="1:11">
      <c r="A316" s="16" t="s">
        <v>201</v>
      </c>
      <c r="B316" s="16"/>
      <c r="C316" s="14"/>
      <c r="E316" s="73"/>
    </row>
    <row r="317" spans="1:11">
      <c r="A317" s="16" t="s">
        <v>215</v>
      </c>
      <c r="B317" s="16"/>
      <c r="C317" s="14"/>
      <c r="E317" s="73"/>
    </row>
    <row r="318" spans="1:11">
      <c r="A318" s="16"/>
      <c r="B318" s="16"/>
      <c r="C318" s="14"/>
      <c r="E318" s="73"/>
    </row>
    <row r="319" spans="1:11">
      <c r="A319" s="16" t="s">
        <v>234</v>
      </c>
      <c r="B319" s="16"/>
      <c r="C319" s="14"/>
      <c r="E319" s="73"/>
    </row>
    <row r="320" spans="1:11">
      <c r="A320" s="16"/>
      <c r="B320" s="16"/>
      <c r="C320" s="14"/>
      <c r="E320" s="73"/>
    </row>
    <row r="321" spans="1:12">
      <c r="A321" s="16"/>
      <c r="B321" s="16"/>
      <c r="C321" s="14"/>
      <c r="E321" s="73"/>
    </row>
    <row r="322" spans="1:12">
      <c r="A322" s="53" t="s">
        <v>129</v>
      </c>
      <c r="B322" s="53"/>
      <c r="E322" s="73"/>
    </row>
    <row r="323" spans="1:12">
      <c r="E323" s="73"/>
    </row>
    <row r="324" spans="1:12">
      <c r="A324" s="14" t="s">
        <v>255</v>
      </c>
      <c r="B324" s="14"/>
      <c r="E324" s="73"/>
      <c r="L324" s="40"/>
    </row>
    <row r="325" spans="1:12">
      <c r="A325" s="14"/>
      <c r="B325" s="14"/>
      <c r="E325" s="73"/>
    </row>
    <row r="326" spans="1:12">
      <c r="A326" s="14"/>
      <c r="B326" s="14"/>
      <c r="E326" s="73"/>
    </row>
    <row r="327" spans="1:12">
      <c r="A327" s="1" t="s">
        <v>130</v>
      </c>
      <c r="B327" s="1"/>
      <c r="E327" s="73"/>
    </row>
    <row r="328" spans="1:12">
      <c r="E328" s="73"/>
    </row>
    <row r="329" spans="1:12">
      <c r="A329" s="16" t="s">
        <v>136</v>
      </c>
      <c r="B329" s="16"/>
      <c r="E329" s="73"/>
    </row>
    <row r="330" spans="1:12">
      <c r="A330" s="16" t="s">
        <v>197</v>
      </c>
      <c r="B330" s="16"/>
      <c r="E330" s="73"/>
    </row>
    <row r="331" spans="1:12">
      <c r="A331" s="16" t="s">
        <v>282</v>
      </c>
      <c r="B331" s="16"/>
      <c r="E331" s="73"/>
    </row>
    <row r="332" spans="1:12">
      <c r="A332" s="3" t="s">
        <v>135</v>
      </c>
      <c r="E332" s="73"/>
    </row>
    <row r="333" spans="1:12">
      <c r="E333" s="73"/>
    </row>
    <row r="334" spans="1:12">
      <c r="E334" s="73"/>
    </row>
    <row r="335" spans="1:12">
      <c r="A335" s="1" t="s">
        <v>131</v>
      </c>
      <c r="B335" s="1"/>
      <c r="E335" s="73"/>
      <c r="F335" s="3"/>
      <c r="H335" s="74"/>
    </row>
    <row r="336" spans="1:12" s="78" customFormat="1">
      <c r="A336" s="17"/>
      <c r="B336" s="17"/>
      <c r="C336" s="85"/>
      <c r="D336" s="82"/>
      <c r="E336" s="85"/>
      <c r="F336" s="85"/>
      <c r="G336" s="68"/>
      <c r="H336" s="86"/>
      <c r="L336" s="52"/>
    </row>
    <row r="337" spans="1:10">
      <c r="A337" s="78"/>
      <c r="B337" s="78"/>
      <c r="C337" s="75" t="s">
        <v>105</v>
      </c>
      <c r="D337" s="75" t="s">
        <v>203</v>
      </c>
      <c r="E337" s="135" t="s">
        <v>204</v>
      </c>
      <c r="F337" s="135"/>
      <c r="G337" s="69" t="s">
        <v>106</v>
      </c>
      <c r="H337" s="3"/>
      <c r="I337" s="17"/>
      <c r="J337" s="8"/>
    </row>
    <row r="338" spans="1:10" ht="16.5" customHeight="1">
      <c r="A338" s="3" t="s">
        <v>235</v>
      </c>
      <c r="C338" s="70">
        <v>108</v>
      </c>
      <c r="D338" s="70">
        <v>3300</v>
      </c>
      <c r="E338" s="133">
        <v>33767</v>
      </c>
      <c r="F338" s="133"/>
      <c r="G338" s="70">
        <f>SUM(C338:F338)</f>
        <v>37175</v>
      </c>
      <c r="H338" s="3"/>
      <c r="I338" s="6"/>
      <c r="J338" s="8"/>
    </row>
    <row r="339" spans="1:10">
      <c r="A339" s="3" t="s">
        <v>107</v>
      </c>
      <c r="C339" s="46">
        <v>0</v>
      </c>
      <c r="D339" s="46">
        <v>0</v>
      </c>
      <c r="E339" s="133">
        <f>+E36</f>
        <v>793</v>
      </c>
      <c r="F339" s="133"/>
      <c r="G339" s="70">
        <f>SUM(C339:F339)</f>
        <v>793</v>
      </c>
      <c r="H339" s="6"/>
      <c r="J339" s="8"/>
    </row>
    <row r="340" spans="1:10">
      <c r="A340" s="3" t="s">
        <v>256</v>
      </c>
      <c r="C340" s="70">
        <f>SUM(C338:C339)</f>
        <v>108</v>
      </c>
      <c r="D340" s="70">
        <f>SUM(D338:D339)</f>
        <v>3300</v>
      </c>
      <c r="E340" s="133">
        <f>SUM(E338:F339)</f>
        <v>34560</v>
      </c>
      <c r="F340" s="133"/>
      <c r="G340" s="70">
        <f>SUM(C340:F340)</f>
        <v>37968</v>
      </c>
      <c r="H340" s="3"/>
      <c r="J340" s="8"/>
    </row>
    <row r="341" spans="1:10">
      <c r="C341" s="70"/>
      <c r="D341" s="70"/>
      <c r="E341" s="70"/>
      <c r="F341" s="3"/>
    </row>
    <row r="342" spans="1:10">
      <c r="C342" s="70"/>
      <c r="D342" s="70"/>
      <c r="E342" s="70"/>
      <c r="F342" s="3"/>
    </row>
    <row r="343" spans="1:10">
      <c r="A343" s="71" t="s">
        <v>132</v>
      </c>
      <c r="B343" s="71"/>
      <c r="C343" s="14"/>
      <c r="E343" s="73"/>
    </row>
    <row r="344" spans="1:10">
      <c r="A344" s="4"/>
      <c r="B344" s="4"/>
      <c r="C344" s="14"/>
      <c r="E344" s="73"/>
    </row>
    <row r="345" spans="1:10">
      <c r="A345" s="16" t="s">
        <v>258</v>
      </c>
      <c r="B345" s="16"/>
      <c r="C345" s="14"/>
      <c r="E345" s="73"/>
    </row>
    <row r="346" spans="1:10">
      <c r="A346" s="4"/>
      <c r="B346" s="4"/>
      <c r="C346" s="14"/>
      <c r="E346" s="73"/>
      <c r="J346" s="18"/>
    </row>
    <row r="347" spans="1:10">
      <c r="C347" s="14"/>
      <c r="E347" s="1">
        <v>2013</v>
      </c>
      <c r="F347" s="72"/>
      <c r="J347" s="18"/>
    </row>
    <row r="348" spans="1:10">
      <c r="A348" s="78"/>
      <c r="B348" s="78"/>
      <c r="F348" s="17"/>
    </row>
    <row r="349" spans="1:10">
      <c r="A349" s="3" t="s">
        <v>169</v>
      </c>
      <c r="E349" s="6">
        <v>72</v>
      </c>
      <c r="F349" s="15"/>
      <c r="H349" s="73"/>
    </row>
    <row r="350" spans="1:10">
      <c r="A350" s="17" t="s">
        <v>170</v>
      </c>
      <c r="B350" s="17"/>
      <c r="C350" s="17"/>
      <c r="D350" s="17"/>
      <c r="E350" s="15">
        <v>27.6</v>
      </c>
      <c r="F350" s="15"/>
      <c r="H350" s="73"/>
    </row>
    <row r="351" spans="1:10">
      <c r="A351" s="3" t="s">
        <v>171</v>
      </c>
      <c r="E351" s="43">
        <v>8.4</v>
      </c>
      <c r="F351" s="15"/>
      <c r="H351" s="73"/>
    </row>
    <row r="352" spans="1:10" ht="19.5" customHeight="1">
      <c r="E352" s="43">
        <f>SUM(E349:E351)</f>
        <v>108</v>
      </c>
      <c r="F352" s="15"/>
    </row>
    <row r="353" spans="1:6" ht="13.5" customHeight="1">
      <c r="E353" s="15"/>
      <c r="F353" s="15"/>
    </row>
    <row r="354" spans="1:6">
      <c r="A354" s="16" t="s">
        <v>108</v>
      </c>
      <c r="B354" s="16"/>
      <c r="E354" s="73"/>
    </row>
    <row r="355" spans="1:6">
      <c r="A355" s="16" t="s">
        <v>109</v>
      </c>
      <c r="B355" s="16"/>
      <c r="C355" s="14"/>
      <c r="E355" s="73"/>
    </row>
    <row r="356" spans="1:6">
      <c r="A356" s="16" t="s">
        <v>110</v>
      </c>
      <c r="B356" s="16"/>
      <c r="C356" s="14"/>
      <c r="E356" s="73"/>
    </row>
    <row r="357" spans="1:6">
      <c r="A357" s="16"/>
      <c r="B357" s="16"/>
      <c r="C357" s="14"/>
      <c r="E357" s="73"/>
    </row>
    <row r="358" spans="1:6">
      <c r="A358" s="16"/>
      <c r="B358" s="16"/>
      <c r="C358" s="14"/>
      <c r="E358" s="73"/>
    </row>
    <row r="359" spans="1:6">
      <c r="A359" s="53" t="s">
        <v>189</v>
      </c>
      <c r="B359" s="53"/>
      <c r="C359" s="14"/>
      <c r="E359" s="73"/>
    </row>
    <row r="360" spans="1:6">
      <c r="A360" s="16"/>
      <c r="B360" s="16"/>
      <c r="C360" s="14"/>
      <c r="E360" s="73"/>
    </row>
    <row r="361" spans="1:6">
      <c r="A361" s="16" t="s">
        <v>190</v>
      </c>
      <c r="B361" s="16"/>
      <c r="C361" s="14"/>
      <c r="E361" s="73"/>
    </row>
    <row r="362" spans="1:6">
      <c r="A362" s="16" t="s">
        <v>191</v>
      </c>
      <c r="B362" s="16"/>
      <c r="C362" s="14"/>
      <c r="E362" s="73"/>
    </row>
    <row r="363" spans="1:6">
      <c r="A363" s="16"/>
      <c r="B363" s="16"/>
      <c r="C363" s="14"/>
      <c r="E363" s="73"/>
    </row>
    <row r="364" spans="1:6">
      <c r="A364" s="16"/>
      <c r="B364" s="16"/>
      <c r="C364" s="14"/>
      <c r="E364" s="73"/>
    </row>
    <row r="365" spans="1:6">
      <c r="A365" s="53" t="s">
        <v>237</v>
      </c>
      <c r="B365" s="53"/>
      <c r="C365" s="14"/>
      <c r="E365" s="73"/>
    </row>
    <row r="366" spans="1:6">
      <c r="A366" s="16" t="s">
        <v>257</v>
      </c>
      <c r="B366" s="16"/>
      <c r="C366" s="14"/>
      <c r="E366" s="73"/>
    </row>
    <row r="367" spans="1:6">
      <c r="A367" s="16" t="s">
        <v>272</v>
      </c>
      <c r="B367" s="16"/>
      <c r="C367" s="14"/>
      <c r="E367" s="73"/>
    </row>
    <row r="368" spans="1:6">
      <c r="A368" s="16"/>
      <c r="B368" s="16"/>
      <c r="C368" s="14"/>
      <c r="E368" s="73"/>
    </row>
    <row r="369" spans="1:9">
      <c r="A369" s="16" t="s">
        <v>238</v>
      </c>
      <c r="B369" s="16"/>
      <c r="C369" s="14"/>
      <c r="E369" s="77">
        <v>2013</v>
      </c>
      <c r="F369" s="77">
        <v>2012</v>
      </c>
    </row>
    <row r="370" spans="1:9">
      <c r="A370" s="16"/>
      <c r="B370" s="16"/>
      <c r="C370" s="14"/>
      <c r="E370" s="45">
        <v>6837</v>
      </c>
      <c r="F370" s="45">
        <v>7500</v>
      </c>
      <c r="I370" s="76"/>
    </row>
    <row r="371" spans="1:9">
      <c r="A371" s="16"/>
      <c r="B371" s="16"/>
      <c r="C371" s="14"/>
      <c r="E371" s="73"/>
    </row>
    <row r="372" spans="1:9">
      <c r="A372" s="16"/>
      <c r="B372" s="16"/>
      <c r="C372" s="14"/>
      <c r="E372" s="73"/>
    </row>
    <row r="373" spans="1:9">
      <c r="A373" s="1" t="s">
        <v>236</v>
      </c>
      <c r="B373" s="1"/>
      <c r="C373" s="1"/>
      <c r="D373" s="1"/>
      <c r="E373" s="1">
        <v>2013</v>
      </c>
      <c r="F373" s="1">
        <v>2012</v>
      </c>
      <c r="G373" s="1"/>
    </row>
    <row r="374" spans="1:9">
      <c r="A374" s="3" t="s">
        <v>162</v>
      </c>
      <c r="C374" s="1"/>
      <c r="D374" s="1"/>
      <c r="E374" s="73">
        <v>5590</v>
      </c>
      <c r="F374" s="90">
        <v>5370</v>
      </c>
      <c r="G374" s="1"/>
    </row>
    <row r="375" spans="1:9">
      <c r="A375" s="3" t="s">
        <v>163</v>
      </c>
      <c r="C375" s="1"/>
      <c r="D375" s="1"/>
      <c r="E375" s="73">
        <v>324</v>
      </c>
      <c r="F375" s="90">
        <v>187</v>
      </c>
      <c r="G375" s="1"/>
    </row>
    <row r="376" spans="1:9">
      <c r="A376" s="3" t="s">
        <v>164</v>
      </c>
      <c r="C376" s="1"/>
      <c r="D376" s="1"/>
      <c r="E376" s="73">
        <v>852</v>
      </c>
      <c r="F376" s="90">
        <v>4189</v>
      </c>
      <c r="G376" s="1"/>
    </row>
    <row r="377" spans="1:9">
      <c r="A377" s="3" t="s">
        <v>186</v>
      </c>
      <c r="C377" s="1"/>
      <c r="D377" s="1"/>
      <c r="E377" s="73">
        <f>1439+399</f>
        <v>1838</v>
      </c>
      <c r="F377" s="90">
        <f>3053+299</f>
        <v>3352</v>
      </c>
      <c r="G377" s="1"/>
    </row>
    <row r="378" spans="1:9">
      <c r="A378" s="3" t="s">
        <v>55</v>
      </c>
      <c r="C378" s="1"/>
      <c r="D378" s="1"/>
      <c r="E378" s="73">
        <f>4+9+34+87+233+11+139</f>
        <v>517</v>
      </c>
      <c r="F378" s="90">
        <f>2+5+32+51+195+136+11</f>
        <v>432</v>
      </c>
      <c r="G378" s="1"/>
    </row>
    <row r="379" spans="1:9" ht="19.5" customHeight="1">
      <c r="A379" s="3" t="s">
        <v>106</v>
      </c>
      <c r="E379" s="47">
        <f>SUM(E374:E378)</f>
        <v>9121</v>
      </c>
      <c r="F379" s="47">
        <f>SUM(F374:F378)-1</f>
        <v>13529</v>
      </c>
      <c r="G379" s="1"/>
      <c r="H379" s="73"/>
    </row>
    <row r="380" spans="1:9">
      <c r="C380" s="1"/>
      <c r="D380" s="1"/>
      <c r="E380" s="2"/>
      <c r="F380" s="2"/>
      <c r="G380" s="1"/>
    </row>
    <row r="381" spans="1:9">
      <c r="C381" s="1"/>
      <c r="D381" s="1"/>
      <c r="E381" s="2"/>
      <c r="F381" s="2"/>
      <c r="G381" s="1"/>
    </row>
    <row r="382" spans="1:9">
      <c r="C382" s="1"/>
      <c r="D382" s="1"/>
      <c r="F382" s="3"/>
      <c r="G382" s="1"/>
    </row>
    <row r="383" spans="1:9">
      <c r="A383" s="1" t="s">
        <v>111</v>
      </c>
      <c r="B383" s="1"/>
      <c r="C383" s="1"/>
      <c r="D383" s="1"/>
      <c r="E383" s="1">
        <v>2013</v>
      </c>
      <c r="F383" s="1">
        <f>F5</f>
        <v>2012</v>
      </c>
      <c r="G383" s="1"/>
    </row>
    <row r="384" spans="1:9">
      <c r="A384" s="1"/>
      <c r="B384" s="1"/>
      <c r="C384" s="1"/>
      <c r="F384" s="3"/>
      <c r="G384" s="78"/>
    </row>
    <row r="385" spans="1:12">
      <c r="A385" s="1" t="s">
        <v>193</v>
      </c>
      <c r="B385" s="1"/>
      <c r="F385" s="3"/>
      <c r="G385" s="78"/>
    </row>
    <row r="386" spans="1:12">
      <c r="A386" s="3" t="s">
        <v>125</v>
      </c>
      <c r="E386" s="15">
        <f>+E36</f>
        <v>793</v>
      </c>
      <c r="F386" s="15">
        <f>+F36</f>
        <v>1356</v>
      </c>
      <c r="G386" s="82"/>
    </row>
    <row r="387" spans="1:12">
      <c r="A387" s="3" t="s">
        <v>202</v>
      </c>
      <c r="E387" s="15">
        <v>-1423</v>
      </c>
      <c r="F387" s="15">
        <v>-2276</v>
      </c>
      <c r="G387" s="82"/>
    </row>
    <row r="388" spans="1:12">
      <c r="A388" s="3" t="s">
        <v>112</v>
      </c>
      <c r="E388" s="15">
        <f>+E19</f>
        <v>2186</v>
      </c>
      <c r="F388" s="15">
        <f>+F19</f>
        <v>1096</v>
      </c>
      <c r="G388" s="82"/>
    </row>
    <row r="389" spans="1:12">
      <c r="A389" s="3" t="s">
        <v>113</v>
      </c>
      <c r="E389" s="15">
        <v>-46</v>
      </c>
      <c r="F389" s="15">
        <v>31</v>
      </c>
      <c r="G389" s="82"/>
    </row>
    <row r="390" spans="1:12">
      <c r="A390" s="3" t="s">
        <v>114</v>
      </c>
      <c r="E390" s="48">
        <v>223</v>
      </c>
      <c r="F390" s="48">
        <v>164</v>
      </c>
      <c r="G390" s="82"/>
    </row>
    <row r="391" spans="1:12" s="78" customFormat="1">
      <c r="A391" s="78" t="s">
        <v>115</v>
      </c>
      <c r="E391" s="87">
        <f>-F117+E117-1</f>
        <v>-643</v>
      </c>
      <c r="F391" s="87">
        <v>382</v>
      </c>
      <c r="H391" s="79"/>
      <c r="L391" s="52"/>
    </row>
    <row r="392" spans="1:12" s="97" customFormat="1">
      <c r="A392" s="97" t="s">
        <v>116</v>
      </c>
      <c r="E392" s="102">
        <f>-9-4+2958-211+79+48-1614+37+38+239-3337-570</f>
        <v>-2346</v>
      </c>
      <c r="F392" s="102">
        <f>6-38+5-2367+33+152-1-2-1+1+301+9+62-89+1692+3-151-1578+3795+143</f>
        <v>1975</v>
      </c>
      <c r="G392" s="81"/>
      <c r="H392" s="103"/>
      <c r="I392" s="131"/>
      <c r="L392" s="95"/>
    </row>
    <row r="393" spans="1:12">
      <c r="A393" s="1" t="s">
        <v>117</v>
      </c>
      <c r="B393" s="1"/>
      <c r="E393" s="43">
        <f>SUM(E386:E392)</f>
        <v>-1256</v>
      </c>
      <c r="F393" s="43">
        <f>SUM(F386:F392)</f>
        <v>2728</v>
      </c>
      <c r="G393" s="82"/>
    </row>
    <row r="394" spans="1:12">
      <c r="E394" s="15"/>
      <c r="F394" s="15"/>
      <c r="G394" s="82"/>
    </row>
    <row r="395" spans="1:12">
      <c r="A395" s="1" t="s">
        <v>248</v>
      </c>
      <c r="B395" s="1"/>
      <c r="E395" s="15"/>
      <c r="F395" s="15"/>
      <c r="G395" s="82"/>
    </row>
    <row r="396" spans="1:12" ht="12.75" customHeight="1">
      <c r="A396" s="3" t="s">
        <v>134</v>
      </c>
      <c r="E396" s="15">
        <v>0</v>
      </c>
      <c r="F396" s="15">
        <v>0</v>
      </c>
      <c r="G396" s="82"/>
    </row>
    <row r="397" spans="1:12" ht="12.75" customHeight="1">
      <c r="A397" s="3" t="s">
        <v>124</v>
      </c>
      <c r="E397" s="15">
        <f>1423+1221</f>
        <v>2644</v>
      </c>
      <c r="F397" s="15">
        <v>2826</v>
      </c>
      <c r="G397" s="82"/>
    </row>
    <row r="398" spans="1:12" ht="12.75" customHeight="1">
      <c r="A398" s="3" t="s">
        <v>123</v>
      </c>
      <c r="E398" s="43">
        <f>-1999-961-1958-3030</f>
        <v>-7948</v>
      </c>
      <c r="F398" s="43">
        <v>-11740</v>
      </c>
      <c r="G398" s="82"/>
    </row>
    <row r="399" spans="1:12">
      <c r="A399" s="1" t="s">
        <v>118</v>
      </c>
      <c r="B399" s="1"/>
      <c r="E399" s="43">
        <f>SUM(E396:E398)</f>
        <v>-5304</v>
      </c>
      <c r="F399" s="43">
        <f>+F396+F397+F398</f>
        <v>-8914</v>
      </c>
      <c r="G399" s="82"/>
    </row>
    <row r="400" spans="1:12">
      <c r="E400" s="15"/>
      <c r="F400" s="15"/>
      <c r="G400" s="82"/>
    </row>
    <row r="401" spans="1:9" hidden="1">
      <c r="E401" s="15">
        <f>+E393+E399</f>
        <v>-6560</v>
      </c>
      <c r="F401" s="15">
        <v>-2599.4</v>
      </c>
      <c r="G401" s="82"/>
    </row>
    <row r="402" spans="1:9" hidden="1">
      <c r="E402" s="15"/>
      <c r="F402" s="15"/>
      <c r="G402" s="82"/>
    </row>
    <row r="403" spans="1:9">
      <c r="A403" s="1" t="s">
        <v>249</v>
      </c>
      <c r="B403" s="1"/>
      <c r="E403" s="15"/>
      <c r="F403" s="15"/>
      <c r="G403" s="82"/>
    </row>
    <row r="404" spans="1:9">
      <c r="A404" s="3" t="s">
        <v>241</v>
      </c>
      <c r="E404" s="15">
        <v>0</v>
      </c>
      <c r="F404" s="15">
        <v>10800</v>
      </c>
      <c r="G404" s="82"/>
    </row>
    <row r="405" spans="1:9">
      <c r="A405" s="3" t="s">
        <v>242</v>
      </c>
      <c r="E405" s="43">
        <v>-504</v>
      </c>
      <c r="F405" s="43">
        <v>-478</v>
      </c>
      <c r="G405" s="82"/>
    </row>
    <row r="406" spans="1:9">
      <c r="A406" s="1" t="s">
        <v>243</v>
      </c>
      <c r="B406" s="1"/>
      <c r="E406" s="43">
        <f>SUM(E404:E405)</f>
        <v>-504</v>
      </c>
      <c r="F406" s="43">
        <f>SUM(F404:F405)</f>
        <v>10322</v>
      </c>
      <c r="G406" s="82"/>
    </row>
    <row r="407" spans="1:9">
      <c r="E407" s="15"/>
      <c r="F407" s="15"/>
      <c r="G407" s="82"/>
    </row>
    <row r="408" spans="1:9">
      <c r="A408" s="3" t="s">
        <v>119</v>
      </c>
      <c r="E408" s="43">
        <f>+E393+E399+E406</f>
        <v>-7064</v>
      </c>
      <c r="F408" s="43">
        <f>+F393+F399+F406</f>
        <v>4136</v>
      </c>
      <c r="G408" s="82"/>
      <c r="I408" s="6"/>
    </row>
    <row r="409" spans="1:9">
      <c r="A409" s="1" t="s">
        <v>120</v>
      </c>
      <c r="B409" s="1"/>
      <c r="E409" s="75">
        <f>+F410</f>
        <v>19811</v>
      </c>
      <c r="F409" s="75">
        <v>15675</v>
      </c>
      <c r="G409" s="82"/>
    </row>
    <row r="410" spans="1:9">
      <c r="A410" s="4" t="s">
        <v>121</v>
      </c>
      <c r="B410" s="4"/>
      <c r="C410" s="4"/>
      <c r="D410" s="97"/>
      <c r="E410" s="75">
        <f>+E409+E408+1</f>
        <v>12748</v>
      </c>
      <c r="F410" s="75">
        <f>+F409+F408</f>
        <v>19811</v>
      </c>
      <c r="G410" s="82"/>
      <c r="H410" s="99"/>
    </row>
    <row r="411" spans="1:9">
      <c r="A411" s="4"/>
      <c r="B411" s="4"/>
      <c r="C411" s="4"/>
      <c r="E411" s="75"/>
      <c r="F411" s="75"/>
      <c r="G411" s="82"/>
    </row>
    <row r="412" spans="1:9">
      <c r="A412" s="16" t="s">
        <v>283</v>
      </c>
      <c r="B412" s="16"/>
      <c r="C412" s="4"/>
      <c r="E412" s="75"/>
      <c r="F412" s="75"/>
      <c r="G412" s="82"/>
    </row>
    <row r="413" spans="1:9">
      <c r="A413" s="4"/>
      <c r="B413" s="4"/>
      <c r="C413" s="4"/>
      <c r="E413" s="6"/>
      <c r="F413" s="75"/>
      <c r="G413" s="75"/>
    </row>
    <row r="414" spans="1:9">
      <c r="A414" s="4"/>
      <c r="B414" s="4"/>
      <c r="C414" s="4"/>
      <c r="E414" s="6"/>
      <c r="F414" s="130"/>
      <c r="G414" s="130"/>
    </row>
    <row r="415" spans="1:9">
      <c r="A415" s="4"/>
      <c r="B415" s="4"/>
      <c r="C415" s="4"/>
      <c r="E415" s="6"/>
      <c r="F415" s="130"/>
      <c r="G415" s="130"/>
    </row>
    <row r="416" spans="1:9">
      <c r="A416" s="4"/>
      <c r="B416" s="4"/>
      <c r="C416" s="4"/>
      <c r="E416" s="6"/>
      <c r="F416" s="130"/>
      <c r="G416" s="130"/>
    </row>
    <row r="417" spans="1:8">
      <c r="A417" s="4"/>
      <c r="B417" s="4"/>
      <c r="C417" s="4"/>
      <c r="D417" s="4"/>
      <c r="E417" s="4"/>
      <c r="F417" s="4"/>
      <c r="G417" s="4"/>
      <c r="H417" s="4"/>
    </row>
    <row r="418" spans="1:8" ht="15">
      <c r="A418" s="19"/>
      <c r="B418" s="19"/>
      <c r="C418" s="20" t="s">
        <v>274</v>
      </c>
      <c r="D418" s="19"/>
      <c r="E418" s="19"/>
      <c r="F418" s="21"/>
      <c r="G418" s="21"/>
      <c r="H418" s="73"/>
    </row>
    <row r="419" spans="1:8" ht="15">
      <c r="A419" s="19"/>
      <c r="B419" s="19"/>
      <c r="C419" s="22"/>
      <c r="D419" s="19"/>
      <c r="E419" s="19"/>
      <c r="F419" s="21"/>
      <c r="G419" s="21"/>
      <c r="H419" s="73"/>
    </row>
    <row r="420" spans="1:8" ht="15">
      <c r="A420" s="20"/>
      <c r="B420" s="20"/>
      <c r="C420" s="22"/>
      <c r="D420" s="19"/>
      <c r="E420" s="19"/>
      <c r="F420" s="21"/>
      <c r="G420" s="21"/>
      <c r="H420" s="73"/>
    </row>
    <row r="421" spans="1:8" ht="15">
      <c r="A421" s="20"/>
      <c r="B421" s="20"/>
      <c r="C421" s="22"/>
      <c r="D421" s="19"/>
      <c r="E421" s="19"/>
      <c r="F421" s="21"/>
      <c r="G421" s="21"/>
      <c r="H421" s="73"/>
    </row>
    <row r="422" spans="1:8" ht="15">
      <c r="A422" s="20"/>
      <c r="B422" s="20"/>
      <c r="C422" s="22"/>
      <c r="D422" s="25"/>
      <c r="E422" s="19"/>
      <c r="F422" s="21"/>
      <c r="G422" s="24"/>
      <c r="H422" s="73"/>
    </row>
    <row r="423" spans="1:8" ht="15">
      <c r="A423" s="22"/>
      <c r="B423" s="22"/>
      <c r="C423" s="22"/>
      <c r="D423" s="23"/>
      <c r="E423" s="19"/>
      <c r="F423" s="21"/>
      <c r="G423" s="21"/>
      <c r="H423" s="73"/>
    </row>
    <row r="424" spans="1:8" ht="15">
      <c r="A424" s="22"/>
      <c r="B424" s="22"/>
      <c r="C424" s="22"/>
      <c r="D424" s="23"/>
      <c r="E424" s="19"/>
      <c r="F424" s="21"/>
      <c r="G424" s="21"/>
      <c r="H424" s="129"/>
    </row>
    <row r="425" spans="1:8" ht="15">
      <c r="A425" s="22"/>
      <c r="B425" s="22"/>
      <c r="C425" s="22"/>
      <c r="D425" s="23"/>
      <c r="E425" s="19"/>
      <c r="F425" s="21"/>
      <c r="G425" s="21"/>
      <c r="H425" s="73"/>
    </row>
    <row r="426" spans="1:8" ht="15">
      <c r="A426" s="20"/>
      <c r="B426" s="20"/>
      <c r="C426" s="22"/>
      <c r="D426" s="23"/>
      <c r="E426" s="19"/>
      <c r="F426" s="21"/>
      <c r="G426" s="24"/>
      <c r="H426" s="73"/>
    </row>
    <row r="427" spans="1:8" ht="15">
      <c r="A427" s="20"/>
      <c r="B427" s="20"/>
      <c r="C427" s="22"/>
      <c r="D427" s="19"/>
      <c r="E427" s="19"/>
      <c r="F427" s="21"/>
      <c r="G427" s="24"/>
      <c r="H427" s="73"/>
    </row>
    <row r="428" spans="1:8" ht="15">
      <c r="A428" s="22"/>
      <c r="B428" s="22"/>
      <c r="C428" s="22"/>
      <c r="D428" s="19"/>
      <c r="E428" s="19"/>
      <c r="F428" s="21"/>
      <c r="G428" s="21"/>
      <c r="H428" s="73"/>
    </row>
    <row r="429" spans="1:8" ht="15">
      <c r="A429" s="22"/>
      <c r="B429" s="22"/>
      <c r="C429" s="22"/>
      <c r="D429" s="19"/>
      <c r="E429" s="19"/>
      <c r="F429" s="21"/>
      <c r="G429" s="21"/>
      <c r="H429" s="129"/>
    </row>
    <row r="430" spans="1:8" ht="15">
      <c r="A430" s="22"/>
      <c r="B430" s="22"/>
      <c r="C430" s="22"/>
      <c r="D430" s="19"/>
      <c r="E430" s="19"/>
      <c r="F430" s="21"/>
      <c r="G430" s="21"/>
      <c r="H430" s="73"/>
    </row>
    <row r="431" spans="1:8" ht="15">
      <c r="A431" s="22"/>
      <c r="B431" s="22"/>
      <c r="C431" s="22"/>
      <c r="D431" s="23"/>
      <c r="E431" s="19"/>
      <c r="F431" s="21"/>
      <c r="G431" s="21"/>
      <c r="H431" s="73"/>
    </row>
    <row r="432" spans="1:8" ht="15">
      <c r="A432" s="20"/>
      <c r="B432" s="20"/>
      <c r="C432" s="22"/>
      <c r="D432" s="19"/>
      <c r="E432" s="19"/>
      <c r="F432" s="21"/>
      <c r="G432" s="24"/>
      <c r="H432" s="73"/>
    </row>
    <row r="433" spans="1:8" ht="15">
      <c r="A433" s="20"/>
      <c r="B433" s="20"/>
      <c r="C433" s="22"/>
      <c r="D433" s="19"/>
      <c r="E433" s="19"/>
      <c r="F433" s="21"/>
      <c r="G433" s="21"/>
      <c r="H433" s="73"/>
    </row>
    <row r="434" spans="1:8" ht="15">
      <c r="A434" s="20"/>
      <c r="B434" s="20"/>
      <c r="C434" s="22"/>
      <c r="D434" s="19"/>
      <c r="E434" s="19"/>
      <c r="F434" s="21"/>
      <c r="G434" s="21"/>
      <c r="H434" s="129"/>
    </row>
    <row r="435" spans="1:8" ht="15">
      <c r="A435" s="22"/>
      <c r="B435" s="22"/>
      <c r="C435" s="22"/>
      <c r="D435" s="19"/>
      <c r="E435" s="19"/>
      <c r="F435" s="21"/>
      <c r="G435" s="21"/>
      <c r="H435" s="73"/>
    </row>
    <row r="436" spans="1:8" ht="15">
      <c r="A436" s="22"/>
      <c r="B436" s="22"/>
      <c r="C436" s="22"/>
      <c r="D436" s="19"/>
      <c r="E436" s="19"/>
      <c r="F436" s="21"/>
      <c r="G436" s="21"/>
      <c r="H436" s="73"/>
    </row>
    <row r="437" spans="1:8" ht="15">
      <c r="A437" s="22"/>
      <c r="B437" s="22"/>
      <c r="C437" s="23"/>
      <c r="D437" s="19"/>
      <c r="E437" s="19"/>
      <c r="F437" s="23"/>
      <c r="G437" s="21"/>
      <c r="H437" s="73"/>
    </row>
    <row r="438" spans="1:8" ht="15">
      <c r="A438" s="22"/>
      <c r="B438" s="22"/>
      <c r="C438" s="23"/>
      <c r="D438" s="19"/>
      <c r="E438" s="19"/>
      <c r="F438" s="26"/>
      <c r="G438" s="27"/>
      <c r="H438" s="73"/>
    </row>
    <row r="439" spans="1:8" ht="15">
      <c r="A439" s="19"/>
      <c r="B439" s="19"/>
      <c r="C439" s="19"/>
      <c r="E439" s="19"/>
      <c r="F439" s="19"/>
      <c r="G439" s="27"/>
      <c r="H439" s="73"/>
    </row>
    <row r="440" spans="1:8" ht="15">
      <c r="A440" s="19"/>
      <c r="B440" s="19"/>
      <c r="E440" s="27" t="s">
        <v>122</v>
      </c>
      <c r="F440" s="3"/>
      <c r="G440" s="6"/>
      <c r="H440" s="73"/>
    </row>
    <row r="441" spans="1:8">
      <c r="F441" s="3"/>
    </row>
    <row r="442" spans="1:8">
      <c r="F442" s="3"/>
    </row>
    <row r="443" spans="1:8">
      <c r="F443" s="3"/>
    </row>
    <row r="444" spans="1:8">
      <c r="F444" s="3"/>
    </row>
    <row r="445" spans="1:8">
      <c r="F445" s="3"/>
    </row>
    <row r="446" spans="1:8">
      <c r="F446" s="3"/>
    </row>
    <row r="447" spans="1:8">
      <c r="F447" s="3"/>
    </row>
    <row r="448" spans="1:8">
      <c r="F448" s="3"/>
    </row>
    <row r="449" spans="6:6">
      <c r="F449" s="3"/>
    </row>
    <row r="450" spans="6:6">
      <c r="F450" s="3"/>
    </row>
    <row r="451" spans="6:6">
      <c r="F451" s="3"/>
    </row>
    <row r="452" spans="6:6">
      <c r="F452" s="3"/>
    </row>
    <row r="453" spans="6:6">
      <c r="F453" s="3"/>
    </row>
    <row r="454" spans="6:6">
      <c r="F454" s="3"/>
    </row>
    <row r="455" spans="6:6">
      <c r="F455" s="3"/>
    </row>
    <row r="456" spans="6:6">
      <c r="F456" s="3"/>
    </row>
    <row r="457" spans="6:6">
      <c r="F457" s="3"/>
    </row>
    <row r="458" spans="6:6">
      <c r="F458" s="3"/>
    </row>
    <row r="459" spans="6:6">
      <c r="F459" s="3"/>
    </row>
    <row r="460" spans="6:6">
      <c r="F460" s="3"/>
    </row>
    <row r="461" spans="6:6">
      <c r="F461" s="3"/>
    </row>
    <row r="462" spans="6:6">
      <c r="F462" s="3"/>
    </row>
    <row r="463" spans="6:6">
      <c r="F463" s="3"/>
    </row>
    <row r="464" spans="6:6">
      <c r="F464" s="3"/>
    </row>
    <row r="465" spans="6:6">
      <c r="F465" s="3"/>
    </row>
    <row r="466" spans="6:6">
      <c r="F466" s="3"/>
    </row>
    <row r="467" spans="6:6">
      <c r="F467" s="3"/>
    </row>
    <row r="468" spans="6:6">
      <c r="F468" s="3"/>
    </row>
    <row r="469" spans="6:6">
      <c r="F469" s="3"/>
    </row>
    <row r="470" spans="6:6">
      <c r="F470" s="3"/>
    </row>
    <row r="471" spans="6:6">
      <c r="F471" s="3"/>
    </row>
    <row r="472" spans="6:6">
      <c r="F472" s="3"/>
    </row>
    <row r="473" spans="6:6">
      <c r="F473" s="3"/>
    </row>
    <row r="474" spans="6:6">
      <c r="F474" s="3"/>
    </row>
    <row r="475" spans="6:6">
      <c r="F475" s="3"/>
    </row>
    <row r="476" spans="6:6">
      <c r="F476" s="3"/>
    </row>
    <row r="477" spans="6:6">
      <c r="F477" s="3"/>
    </row>
    <row r="478" spans="6:6">
      <c r="F478" s="3"/>
    </row>
    <row r="479" spans="6:6">
      <c r="F479" s="3"/>
    </row>
    <row r="480" spans="6:6">
      <c r="F480" s="3"/>
    </row>
    <row r="481" spans="6:6">
      <c r="F481" s="3"/>
    </row>
    <row r="482" spans="6:6">
      <c r="F482" s="3"/>
    </row>
    <row r="483" spans="6:6">
      <c r="F483" s="3"/>
    </row>
    <row r="484" spans="6:6">
      <c r="F484" s="3"/>
    </row>
    <row r="485" spans="6:6">
      <c r="F485" s="3"/>
    </row>
    <row r="486" spans="6:6">
      <c r="F486" s="3"/>
    </row>
    <row r="487" spans="6:6">
      <c r="F487" s="3"/>
    </row>
    <row r="488" spans="6:6">
      <c r="F488" s="3"/>
    </row>
    <row r="489" spans="6:6">
      <c r="F489" s="3"/>
    </row>
    <row r="490" spans="6:6">
      <c r="F490" s="3"/>
    </row>
    <row r="491" spans="6:6">
      <c r="F491" s="3"/>
    </row>
    <row r="492" spans="6:6">
      <c r="F492" s="3"/>
    </row>
    <row r="493" spans="6:6">
      <c r="F493" s="3"/>
    </row>
    <row r="494" spans="6:6">
      <c r="F494" s="3"/>
    </row>
    <row r="495" spans="6:6">
      <c r="F495" s="3"/>
    </row>
    <row r="496" spans="6:6">
      <c r="F496" s="3"/>
    </row>
    <row r="497" spans="6:6">
      <c r="F497" s="3"/>
    </row>
    <row r="498" spans="6:6">
      <c r="F498" s="3"/>
    </row>
    <row r="499" spans="6:6">
      <c r="F499" s="3"/>
    </row>
    <row r="500" spans="6:6">
      <c r="F500" s="3"/>
    </row>
    <row r="501" spans="6:6">
      <c r="F501" s="3"/>
    </row>
    <row r="502" spans="6:6">
      <c r="F502" s="3"/>
    </row>
    <row r="503" spans="6:6">
      <c r="F503" s="3"/>
    </row>
    <row r="504" spans="6:6">
      <c r="F504" s="3"/>
    </row>
    <row r="505" spans="6:6">
      <c r="F505" s="3"/>
    </row>
    <row r="506" spans="6:6">
      <c r="F506" s="3"/>
    </row>
  </sheetData>
  <mergeCells count="16">
    <mergeCell ref="F266:G266"/>
    <mergeCell ref="E339:F339"/>
    <mergeCell ref="E340:F340"/>
    <mergeCell ref="F199:G199"/>
    <mergeCell ref="E337:F337"/>
    <mergeCell ref="E338:F338"/>
    <mergeCell ref="F261:G261"/>
    <mergeCell ref="F262:G262"/>
    <mergeCell ref="F263:G263"/>
    <mergeCell ref="F264:G264"/>
    <mergeCell ref="F265:G265"/>
    <mergeCell ref="F256:G256"/>
    <mergeCell ref="F257:G257"/>
    <mergeCell ref="F258:G258"/>
    <mergeCell ref="F259:G259"/>
    <mergeCell ref="F260:G260"/>
  </mergeCells>
  <phoneticPr fontId="0" type="noConversion"/>
  <pageMargins left="0.59055118110236227" right="0.19685039370078741" top="2.3622047244094491" bottom="0.39370078740157483" header="0.51181102362204722" footer="0.51181102362204722"/>
  <pageSetup paperSize="9" scale="73" fitToHeight="0" orientation="portrait"/>
  <headerFooter alignWithMargins="0"/>
  <rowBreaks count="8" manualBreakCount="8">
    <brk id="43" max="16383" man="1"/>
    <brk id="85" max="16383" man="1"/>
    <brk id="125" max="16383" man="1"/>
    <brk id="171" max="16383" man="1"/>
    <brk id="230" max="16383" man="1"/>
    <brk id="289" max="16383" man="1"/>
    <brk id="333" max="16383" man="1"/>
    <brk id="381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Årsregnskap med noter 2013</vt:lpstr>
    </vt:vector>
  </TitlesOfParts>
  <Company>Rogaland Teater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Sluttbruker</dc:creator>
  <cp:lastModifiedBy>Belma Nazecic</cp:lastModifiedBy>
  <cp:lastPrinted>2014-02-13T10:11:17Z</cp:lastPrinted>
  <dcterms:created xsi:type="dcterms:W3CDTF">2002-05-06T05:30:33Z</dcterms:created>
  <dcterms:modified xsi:type="dcterms:W3CDTF">2014-05-28T13:05:03Z</dcterms:modified>
</cp:coreProperties>
</file>